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OFTTOUCH COMPUTERS\Desktop\Ella\NSERC\Tariff model\"/>
    </mc:Choice>
  </mc:AlternateContent>
  <xr:revisionPtr revIDLastSave="0" documentId="13_ncr:1_{C884F9DD-A150-41B2-BC02-436909D0ABE5}" xr6:coauthVersionLast="47" xr6:coauthVersionMax="47" xr10:uidLastSave="{00000000-0000-0000-0000-000000000000}"/>
  <bookViews>
    <workbookView xWindow="-108" yWindow="-108" windowWidth="23256" windowHeight="12456" tabRatio="836" firstSheet="5" activeTab="10" xr2:uid="{00000000-000D-0000-FFFF-FFFF00000000}"/>
  </bookViews>
  <sheets>
    <sheet name="Introduction" sheetId="1" r:id="rId1"/>
    <sheet name="Control Panel" sheetId="2" r:id="rId2"/>
    <sheet name="User Guide" sheetId="3" state="hidden" r:id="rId3"/>
    <sheet name="01_Macro Parameters" sheetId="4" r:id="rId4"/>
    <sheet name="02_PassThrough" sheetId="8" r:id="rId5"/>
    <sheet name="03_Fixed Assets" sheetId="5" r:id="rId6"/>
    <sheet name="04_CapEx Programme" sheetId="6" r:id="rId7"/>
    <sheet name="05_OpEx OM" sheetId="7" r:id="rId8"/>
    <sheet name="06_RAB Roll" sheetId="9" r:id="rId9"/>
    <sheet name="07_Depreciation" sheetId="10" r:id="rId10"/>
    <sheet name="08_Revenue Requirement" sheetId="11" r:id="rId11"/>
    <sheet name="09_End User Average Tariff" sheetId="18" r:id="rId12"/>
    <sheet name="17_MiniGrid_EmbedGen" sheetId="14" state="hidden" r:id="rId13"/>
    <sheet name="18_Investor_Returns" sheetId="15" state="hidden" r:id="rId14"/>
    <sheet name="19_Affordability" sheetId="16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6" l="1"/>
  <c r="M15" i="16"/>
  <c r="L15" i="16"/>
  <c r="K15" i="16"/>
  <c r="J15" i="16"/>
  <c r="I15" i="16"/>
  <c r="H15" i="16"/>
  <c r="G15" i="16"/>
  <c r="F15" i="16"/>
  <c r="N14" i="16"/>
  <c r="M14" i="16"/>
  <c r="L14" i="16"/>
  <c r="K14" i="16"/>
  <c r="J14" i="16"/>
  <c r="I14" i="16"/>
  <c r="H14" i="16"/>
  <c r="G14" i="16"/>
  <c r="F14" i="16"/>
  <c r="N13" i="16"/>
  <c r="M13" i="16"/>
  <c r="L13" i="16"/>
  <c r="K13" i="16"/>
  <c r="J13" i="16"/>
  <c r="I13" i="16"/>
  <c r="H13" i="16"/>
  <c r="G13" i="16"/>
  <c r="F13" i="16"/>
  <c r="N27" i="15"/>
  <c r="M27" i="15"/>
  <c r="L27" i="15"/>
  <c r="K27" i="15"/>
  <c r="J27" i="15"/>
  <c r="I27" i="15"/>
  <c r="H27" i="15"/>
  <c r="G27" i="15"/>
  <c r="F27" i="15"/>
  <c r="E27" i="15"/>
  <c r="N26" i="15"/>
  <c r="M26" i="15"/>
  <c r="L26" i="15"/>
  <c r="K26" i="15"/>
  <c r="J26" i="15"/>
  <c r="I26" i="15"/>
  <c r="H26" i="15"/>
  <c r="G26" i="15"/>
  <c r="F26" i="15"/>
  <c r="E26" i="15"/>
  <c r="N38" i="14"/>
  <c r="M38" i="14"/>
  <c r="L38" i="14"/>
  <c r="K38" i="14"/>
  <c r="J38" i="14"/>
  <c r="I38" i="14"/>
  <c r="H38" i="14"/>
  <c r="G38" i="14"/>
  <c r="F38" i="14"/>
  <c r="E38" i="14"/>
  <c r="N30" i="14"/>
  <c r="M30" i="14"/>
  <c r="L30" i="14"/>
  <c r="K30" i="14"/>
  <c r="J30" i="14"/>
  <c r="I30" i="14"/>
  <c r="H30" i="14"/>
  <c r="G30" i="14"/>
  <c r="F30" i="14"/>
  <c r="E30" i="14"/>
  <c r="N29" i="14"/>
  <c r="M29" i="14"/>
  <c r="L29" i="14"/>
  <c r="K29" i="14"/>
  <c r="J29" i="14"/>
  <c r="I29" i="14"/>
  <c r="H29" i="14"/>
  <c r="G29" i="14"/>
  <c r="F29" i="14"/>
  <c r="E29" i="14"/>
  <c r="N26" i="14"/>
  <c r="N27" i="14" s="1"/>
  <c r="N28" i="14" s="1"/>
  <c r="M26" i="14"/>
  <c r="M27" i="14" s="1"/>
  <c r="M28" i="14" s="1"/>
  <c r="L26" i="14"/>
  <c r="L27" i="14" s="1"/>
  <c r="L28" i="14" s="1"/>
  <c r="K26" i="14"/>
  <c r="K27" i="14" s="1"/>
  <c r="K28" i="14" s="1"/>
  <c r="J26" i="14"/>
  <c r="J27" i="14" s="1"/>
  <c r="J28" i="14" s="1"/>
  <c r="I26" i="14"/>
  <c r="I27" i="14" s="1"/>
  <c r="I28" i="14" s="1"/>
  <c r="H26" i="14"/>
  <c r="H27" i="14" s="1"/>
  <c r="H28" i="14" s="1"/>
  <c r="G26" i="14"/>
  <c r="G27" i="14" s="1"/>
  <c r="G28" i="14" s="1"/>
  <c r="F26" i="14"/>
  <c r="F27" i="14" s="1"/>
  <c r="F28" i="14" s="1"/>
  <c r="E26" i="14"/>
  <c r="E27" i="14" s="1"/>
  <c r="E28" i="14" s="1"/>
  <c r="E14" i="10"/>
  <c r="E13" i="10"/>
  <c r="E12" i="10"/>
  <c r="E11" i="10"/>
  <c r="E10" i="10"/>
  <c r="E9" i="10"/>
  <c r="E8" i="10"/>
  <c r="E7" i="10"/>
  <c r="E6" i="10"/>
  <c r="O37" i="7"/>
  <c r="N37" i="7"/>
  <c r="M37" i="7"/>
  <c r="L37" i="7"/>
  <c r="K37" i="7"/>
  <c r="J37" i="7"/>
  <c r="I37" i="7"/>
  <c r="H37" i="7"/>
  <c r="G37" i="7"/>
  <c r="F37" i="7"/>
  <c r="E36" i="7"/>
  <c r="E35" i="7"/>
  <c r="E34" i="7"/>
  <c r="E33" i="7"/>
  <c r="E32" i="7"/>
  <c r="E31" i="7"/>
  <c r="E30" i="7"/>
  <c r="O27" i="7"/>
  <c r="N27" i="7"/>
  <c r="M27" i="7"/>
  <c r="L27" i="7"/>
  <c r="K27" i="7"/>
  <c r="J27" i="7"/>
  <c r="I27" i="7"/>
  <c r="H27" i="7"/>
  <c r="G27" i="7"/>
  <c r="F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O11" i="7"/>
  <c r="N11" i="7"/>
  <c r="M11" i="7"/>
  <c r="L11" i="7"/>
  <c r="K11" i="7"/>
  <c r="J11" i="7"/>
  <c r="I11" i="7"/>
  <c r="H11" i="7"/>
  <c r="G11" i="7"/>
  <c r="F11" i="7"/>
  <c r="E10" i="7"/>
  <c r="E9" i="7"/>
  <c r="E8" i="7"/>
  <c r="E7" i="7"/>
  <c r="Q15" i="6"/>
  <c r="O7" i="9" s="1"/>
  <c r="P15" i="6"/>
  <c r="M21" i="6" s="1"/>
  <c r="O15" i="6"/>
  <c r="L21" i="6" s="1"/>
  <c r="N15" i="6"/>
  <c r="L7" i="9" s="1"/>
  <c r="M15" i="6"/>
  <c r="K7" i="9" s="1"/>
  <c r="L15" i="6"/>
  <c r="I21" i="6" s="1"/>
  <c r="K15" i="6"/>
  <c r="H21" i="6" s="1"/>
  <c r="J15" i="6"/>
  <c r="H7" i="9" s="1"/>
  <c r="I15" i="6"/>
  <c r="G7" i="9" s="1"/>
  <c r="H15" i="6"/>
  <c r="E21" i="6" s="1"/>
  <c r="G15" i="6"/>
  <c r="F15" i="6"/>
  <c r="E14" i="6"/>
  <c r="E13" i="6"/>
  <c r="E12" i="6"/>
  <c r="E11" i="6"/>
  <c r="E10" i="6"/>
  <c r="E9" i="6"/>
  <c r="E8" i="6"/>
  <c r="E7" i="6"/>
  <c r="E6" i="6"/>
  <c r="F82" i="5"/>
  <c r="F81" i="5"/>
  <c r="I77" i="5"/>
  <c r="F6" i="9" s="1"/>
  <c r="G75" i="5"/>
  <c r="I74" i="5"/>
  <c r="J74" i="5" s="1"/>
  <c r="I73" i="5"/>
  <c r="J73" i="5" s="1"/>
  <c r="I72" i="5"/>
  <c r="J72" i="5" s="1"/>
  <c r="I71" i="5"/>
  <c r="J71" i="5" s="1"/>
  <c r="I70" i="5"/>
  <c r="G67" i="5"/>
  <c r="I66" i="5"/>
  <c r="J66" i="5" s="1"/>
  <c r="I65" i="5"/>
  <c r="J65" i="5" s="1"/>
  <c r="I64" i="5"/>
  <c r="J64" i="5" s="1"/>
  <c r="I63" i="5"/>
  <c r="J63" i="5" s="1"/>
  <c r="I62" i="5"/>
  <c r="G59" i="5"/>
  <c r="I58" i="5"/>
  <c r="J58" i="5" s="1"/>
  <c r="I57" i="5"/>
  <c r="J57" i="5" s="1"/>
  <c r="I56" i="5"/>
  <c r="J56" i="5" s="1"/>
  <c r="I55" i="5"/>
  <c r="J55" i="5" s="1"/>
  <c r="I54" i="5"/>
  <c r="G51" i="5"/>
  <c r="I50" i="5"/>
  <c r="J50" i="5" s="1"/>
  <c r="I49" i="5"/>
  <c r="J49" i="5" s="1"/>
  <c r="I48" i="5"/>
  <c r="J48" i="5" s="1"/>
  <c r="I47" i="5"/>
  <c r="J47" i="5" s="1"/>
  <c r="I46" i="5"/>
  <c r="G43" i="5"/>
  <c r="I42" i="5"/>
  <c r="J42" i="5" s="1"/>
  <c r="I41" i="5"/>
  <c r="J41" i="5" s="1"/>
  <c r="I40" i="5"/>
  <c r="J40" i="5" s="1"/>
  <c r="I39" i="5"/>
  <c r="J39" i="5" s="1"/>
  <c r="I38" i="5"/>
  <c r="G35" i="5"/>
  <c r="I34" i="5"/>
  <c r="J34" i="5" s="1"/>
  <c r="I33" i="5"/>
  <c r="J33" i="5" s="1"/>
  <c r="I32" i="5"/>
  <c r="J32" i="5" s="1"/>
  <c r="I31" i="5"/>
  <c r="J31" i="5" s="1"/>
  <c r="I30" i="5"/>
  <c r="G27" i="5"/>
  <c r="I26" i="5"/>
  <c r="J26" i="5" s="1"/>
  <c r="I25" i="5"/>
  <c r="J25" i="5" s="1"/>
  <c r="I24" i="5"/>
  <c r="J24" i="5" s="1"/>
  <c r="I23" i="5"/>
  <c r="J23" i="5" s="1"/>
  <c r="I22" i="5"/>
  <c r="G19" i="5"/>
  <c r="I18" i="5"/>
  <c r="J18" i="5" s="1"/>
  <c r="I17" i="5"/>
  <c r="J17" i="5" s="1"/>
  <c r="I16" i="5"/>
  <c r="J16" i="5" s="1"/>
  <c r="I15" i="5"/>
  <c r="J15" i="5" s="1"/>
  <c r="I14" i="5"/>
  <c r="G11" i="5"/>
  <c r="I10" i="5"/>
  <c r="J10" i="5" s="1"/>
  <c r="I9" i="5"/>
  <c r="J9" i="5" s="1"/>
  <c r="I8" i="5"/>
  <c r="J8" i="5" s="1"/>
  <c r="I7" i="5"/>
  <c r="J7" i="5" s="1"/>
  <c r="I6" i="5"/>
  <c r="Q28" i="4"/>
  <c r="O7" i="8" s="1"/>
  <c r="P28" i="4"/>
  <c r="N7" i="8" s="1"/>
  <c r="O28" i="4"/>
  <c r="M7" i="8" s="1"/>
  <c r="N28" i="4"/>
  <c r="L7" i="8" s="1"/>
  <c r="M28" i="4"/>
  <c r="K7" i="8" s="1"/>
  <c r="L28" i="4"/>
  <c r="J7" i="8" s="1"/>
  <c r="K28" i="4"/>
  <c r="I7" i="8" s="1"/>
  <c r="J28" i="4"/>
  <c r="H7" i="8" s="1"/>
  <c r="I28" i="4"/>
  <c r="G7" i="8" s="1"/>
  <c r="H28" i="4"/>
  <c r="F7" i="8" s="1"/>
  <c r="Q14" i="4"/>
  <c r="Q15" i="4" s="1"/>
  <c r="Q16" i="4" s="1"/>
  <c r="P14" i="4"/>
  <c r="P15" i="4" s="1"/>
  <c r="P16" i="4" s="1"/>
  <c r="O14" i="4"/>
  <c r="O15" i="4" s="1"/>
  <c r="N14" i="4"/>
  <c r="N15" i="4" s="1"/>
  <c r="N17" i="4" s="1"/>
  <c r="L11" i="9" s="1"/>
  <c r="L8" i="11" s="1"/>
  <c r="M14" i="4"/>
  <c r="M15" i="4" s="1"/>
  <c r="M16" i="4" s="1"/>
  <c r="L14" i="4"/>
  <c r="L15" i="4" s="1"/>
  <c r="K14" i="4"/>
  <c r="K15" i="4" s="1"/>
  <c r="J14" i="4"/>
  <c r="J15" i="4" s="1"/>
  <c r="J17" i="4" s="1"/>
  <c r="H11" i="9" s="1"/>
  <c r="H8" i="11" s="1"/>
  <c r="I14" i="4"/>
  <c r="I15" i="4" s="1"/>
  <c r="I16" i="4" s="1"/>
  <c r="H14" i="4"/>
  <c r="H15" i="4" s="1"/>
  <c r="H16" i="4" s="1"/>
  <c r="Q8" i="4"/>
  <c r="P8" i="4"/>
  <c r="O8" i="4"/>
  <c r="N8" i="4"/>
  <c r="M8" i="4"/>
  <c r="L8" i="4"/>
  <c r="K8" i="4"/>
  <c r="J8" i="4"/>
  <c r="I8" i="4"/>
  <c r="H8" i="4"/>
  <c r="I7" i="18" l="1"/>
  <c r="M7" i="18"/>
  <c r="F7" i="18"/>
  <c r="J7" i="18"/>
  <c r="N7" i="18"/>
  <c r="H7" i="18"/>
  <c r="L7" i="18"/>
  <c r="G7" i="18"/>
  <c r="K7" i="18"/>
  <c r="O7" i="18"/>
  <c r="L31" i="14"/>
  <c r="L34" i="14" s="1"/>
  <c r="E31" i="14"/>
  <c r="E34" i="14" s="1"/>
  <c r="I31" i="14"/>
  <c r="I34" i="14" s="1"/>
  <c r="M31" i="14"/>
  <c r="M34" i="14" s="1"/>
  <c r="J39" i="7"/>
  <c r="I11" i="15" s="1"/>
  <c r="I22" i="15" s="1"/>
  <c r="N39" i="7"/>
  <c r="M11" i="15" s="1"/>
  <c r="M22" i="15" s="1"/>
  <c r="I39" i="7"/>
  <c r="I15" i="11" s="1"/>
  <c r="M39" i="7"/>
  <c r="M15" i="11" s="1"/>
  <c r="G39" i="7"/>
  <c r="F11" i="15" s="1"/>
  <c r="F22" i="15" s="1"/>
  <c r="O39" i="7"/>
  <c r="O15" i="11" s="1"/>
  <c r="J31" i="14"/>
  <c r="J34" i="14" s="1"/>
  <c r="H39" i="7"/>
  <c r="G11" i="15" s="1"/>
  <c r="G22" i="15" s="1"/>
  <c r="L39" i="7"/>
  <c r="K11" i="15" s="1"/>
  <c r="K22" i="15" s="1"/>
  <c r="J7" i="9"/>
  <c r="G31" i="14"/>
  <c r="G34" i="14" s="1"/>
  <c r="K31" i="14"/>
  <c r="K34" i="14" s="1"/>
  <c r="K39" i="7"/>
  <c r="K15" i="11" s="1"/>
  <c r="F31" i="14"/>
  <c r="F34" i="14" s="1"/>
  <c r="N31" i="14"/>
  <c r="N34" i="14" s="1"/>
  <c r="F39" i="7"/>
  <c r="E11" i="15" s="1"/>
  <c r="E22" i="15" s="1"/>
  <c r="H31" i="14"/>
  <c r="H34" i="14" s="1"/>
  <c r="L16" i="4"/>
  <c r="L17" i="4"/>
  <c r="J11" i="9" s="1"/>
  <c r="J8" i="11" s="1"/>
  <c r="G21" i="6"/>
  <c r="N7" i="9"/>
  <c r="F7" i="9"/>
  <c r="H17" i="4"/>
  <c r="F11" i="9" s="1"/>
  <c r="F8" i="11" s="1"/>
  <c r="G14" i="8"/>
  <c r="G15" i="8"/>
  <c r="K14" i="8"/>
  <c r="K15" i="8"/>
  <c r="O14" i="8"/>
  <c r="O15" i="8"/>
  <c r="K17" i="4"/>
  <c r="I11" i="9" s="1"/>
  <c r="I8" i="11" s="1"/>
  <c r="K16" i="4"/>
  <c r="O17" i="4"/>
  <c r="M11" i="9" s="1"/>
  <c r="M8" i="11" s="1"/>
  <c r="O16" i="4"/>
  <c r="H15" i="8"/>
  <c r="H14" i="8"/>
  <c r="L15" i="8"/>
  <c r="L14" i="8"/>
  <c r="I11" i="5"/>
  <c r="F6" i="10" s="1"/>
  <c r="J6" i="5"/>
  <c r="I27" i="5"/>
  <c r="F8" i="10" s="1"/>
  <c r="J22" i="5"/>
  <c r="I43" i="5"/>
  <c r="F10" i="10" s="1"/>
  <c r="J38" i="5"/>
  <c r="I59" i="5"/>
  <c r="F12" i="10" s="1"/>
  <c r="J54" i="5"/>
  <c r="I75" i="5"/>
  <c r="F14" i="10" s="1"/>
  <c r="J70" i="5"/>
  <c r="J16" i="4"/>
  <c r="P17" i="4"/>
  <c r="N11" i="9" s="1"/>
  <c r="N8" i="11" s="1"/>
  <c r="I15" i="8"/>
  <c r="I14" i="8"/>
  <c r="M15" i="8"/>
  <c r="M14" i="8"/>
  <c r="N16" i="4"/>
  <c r="F14" i="8"/>
  <c r="F15" i="8"/>
  <c r="J14" i="8"/>
  <c r="J15" i="8"/>
  <c r="N14" i="8"/>
  <c r="N15" i="8"/>
  <c r="I19" i="5"/>
  <c r="F7" i="10" s="1"/>
  <c r="J14" i="5"/>
  <c r="I35" i="5"/>
  <c r="F9" i="10" s="1"/>
  <c r="J30" i="5"/>
  <c r="I51" i="5"/>
  <c r="F11" i="10" s="1"/>
  <c r="J46" i="5"/>
  <c r="I67" i="5"/>
  <c r="F13" i="10" s="1"/>
  <c r="J62" i="5"/>
  <c r="E20" i="6"/>
  <c r="K21" i="6"/>
  <c r="I17" i="4"/>
  <c r="G11" i="9" s="1"/>
  <c r="G8" i="11" s="1"/>
  <c r="M17" i="4"/>
  <c r="K11" i="9" s="1"/>
  <c r="K8" i="11" s="1"/>
  <c r="Q17" i="4"/>
  <c r="O11" i="9" s="1"/>
  <c r="O8" i="11" s="1"/>
  <c r="F21" i="6"/>
  <c r="J21" i="6"/>
  <c r="N21" i="6"/>
  <c r="I7" i="9"/>
  <c r="M7" i="9"/>
  <c r="H11" i="15" l="1"/>
  <c r="H22" i="15" s="1"/>
  <c r="J15" i="11"/>
  <c r="J11" i="15"/>
  <c r="J22" i="15" s="1"/>
  <c r="G15" i="11"/>
  <c r="N15" i="11"/>
  <c r="N11" i="15"/>
  <c r="N22" i="15" s="1"/>
  <c r="L15" i="11"/>
  <c r="G16" i="8"/>
  <c r="H15" i="11"/>
  <c r="L11" i="15"/>
  <c r="L22" i="15" s="1"/>
  <c r="F15" i="11"/>
  <c r="O16" i="8"/>
  <c r="K16" i="8"/>
  <c r="G8" i="10"/>
  <c r="G14" i="10"/>
  <c r="G10" i="10"/>
  <c r="G6" i="10"/>
  <c r="H6" i="10" s="1"/>
  <c r="F15" i="10"/>
  <c r="G12" i="10"/>
  <c r="G13" i="10"/>
  <c r="H13" i="10" s="1"/>
  <c r="G9" i="10"/>
  <c r="H9" i="10" s="1"/>
  <c r="I9" i="10" s="1"/>
  <c r="N16" i="8"/>
  <c r="N9" i="18" s="1"/>
  <c r="J16" i="8"/>
  <c r="J9" i="18" s="1"/>
  <c r="F16" i="8"/>
  <c r="F9" i="18" s="1"/>
  <c r="G11" i="10"/>
  <c r="H11" i="10" s="1"/>
  <c r="G7" i="10"/>
  <c r="H7" i="10" s="1"/>
  <c r="I7" i="10" s="1"/>
  <c r="M16" i="8"/>
  <c r="M9" i="18" s="1"/>
  <c r="I16" i="8"/>
  <c r="I9" i="18" s="1"/>
  <c r="L16" i="8"/>
  <c r="L9" i="18" s="1"/>
  <c r="H16" i="8"/>
  <c r="H9" i="18" s="1"/>
  <c r="N16" i="15" l="1"/>
  <c r="N20" i="15" s="1"/>
  <c r="O9" i="18"/>
  <c r="G18" i="11"/>
  <c r="G9" i="18"/>
  <c r="J16" i="15"/>
  <c r="J20" i="15" s="1"/>
  <c r="K9" i="18"/>
  <c r="O18" i="11"/>
  <c r="F16" i="15"/>
  <c r="F20" i="15" s="1"/>
  <c r="K18" i="11"/>
  <c r="I13" i="10"/>
  <c r="J13" i="10" s="1"/>
  <c r="K16" i="15"/>
  <c r="K20" i="15" s="1"/>
  <c r="L18" i="11"/>
  <c r="I11" i="10"/>
  <c r="J11" i="10" s="1"/>
  <c r="E12" i="15"/>
  <c r="E24" i="15" s="1"/>
  <c r="F18" i="10"/>
  <c r="F19" i="10" s="1"/>
  <c r="G19" i="10"/>
  <c r="F12" i="11"/>
  <c r="F8" i="9"/>
  <c r="F9" i="9" s="1"/>
  <c r="E22" i="6"/>
  <c r="E23" i="6" s="1"/>
  <c r="H10" i="10"/>
  <c r="J7" i="10"/>
  <c r="K7" i="10" s="1"/>
  <c r="H16" i="15"/>
  <c r="H20" i="15" s="1"/>
  <c r="I18" i="11"/>
  <c r="E16" i="15"/>
  <c r="E20" i="15" s="1"/>
  <c r="F18" i="11"/>
  <c r="J9" i="10"/>
  <c r="H12" i="10"/>
  <c r="I6" i="10"/>
  <c r="G15" i="10"/>
  <c r="G16" i="15"/>
  <c r="G20" i="15" s="1"/>
  <c r="H18" i="11"/>
  <c r="M16" i="15"/>
  <c r="M20" i="15" s="1"/>
  <c r="N18" i="11"/>
  <c r="L16" i="15"/>
  <c r="L20" i="15" s="1"/>
  <c r="M18" i="11"/>
  <c r="I16" i="15"/>
  <c r="I20" i="15" s="1"/>
  <c r="J18" i="11"/>
  <c r="H14" i="10"/>
  <c r="H8" i="10"/>
  <c r="I8" i="10" s="1"/>
  <c r="H15" i="10" l="1"/>
  <c r="H12" i="11" s="1"/>
  <c r="J8" i="10"/>
  <c r="K8" i="10" s="1"/>
  <c r="L8" i="10" s="1"/>
  <c r="H19" i="10"/>
  <c r="L7" i="10"/>
  <c r="M7" i="10" s="1"/>
  <c r="G12" i="15"/>
  <c r="G24" i="15" s="1"/>
  <c r="I12" i="10"/>
  <c r="F20" i="6"/>
  <c r="E24" i="6"/>
  <c r="J6" i="10"/>
  <c r="K6" i="10" s="1"/>
  <c r="I14" i="10"/>
  <c r="G6" i="9"/>
  <c r="F10" i="9"/>
  <c r="G18" i="10"/>
  <c r="K9" i="10"/>
  <c r="I10" i="10"/>
  <c r="J10" i="10" s="1"/>
  <c r="F12" i="15"/>
  <c r="F24" i="15" s="1"/>
  <c r="G12" i="11"/>
  <c r="F22" i="6"/>
  <c r="G8" i="9"/>
  <c r="K13" i="10"/>
  <c r="K11" i="10"/>
  <c r="H18" i="10" l="1"/>
  <c r="G22" i="6"/>
  <c r="H8" i="9"/>
  <c r="I19" i="10"/>
  <c r="L11" i="10"/>
  <c r="G9" i="9"/>
  <c r="H6" i="9" s="1"/>
  <c r="K10" i="10"/>
  <c r="L13" i="10"/>
  <c r="M13" i="10" s="1"/>
  <c r="N13" i="10" s="1"/>
  <c r="O13" i="10" s="1"/>
  <c r="M8" i="10"/>
  <c r="N8" i="10" s="1"/>
  <c r="O8" i="10" s="1"/>
  <c r="J14" i="10"/>
  <c r="K14" i="10" s="1"/>
  <c r="L14" i="10" s="1"/>
  <c r="J12" i="10"/>
  <c r="N7" i="10"/>
  <c r="O7" i="10" s="1"/>
  <c r="L9" i="10"/>
  <c r="M9" i="10" s="1"/>
  <c r="N9" i="10" s="1"/>
  <c r="O9" i="10" s="1"/>
  <c r="F23" i="6"/>
  <c r="G20" i="6" s="1"/>
  <c r="I15" i="10"/>
  <c r="F7" i="11"/>
  <c r="F12" i="9"/>
  <c r="F9" i="11" s="1"/>
  <c r="L6" i="10"/>
  <c r="M6" i="10" s="1"/>
  <c r="J19" i="10" l="1"/>
  <c r="G10" i="9"/>
  <c r="G12" i="9" s="1"/>
  <c r="G9" i="11" s="1"/>
  <c r="I18" i="10"/>
  <c r="L10" i="10"/>
  <c r="N6" i="10"/>
  <c r="G23" i="6"/>
  <c r="H20" i="6" s="1"/>
  <c r="F24" i="6"/>
  <c r="F21" i="11"/>
  <c r="E18" i="16"/>
  <c r="H12" i="15"/>
  <c r="H24" i="15" s="1"/>
  <c r="I12" i="11"/>
  <c r="I8" i="9"/>
  <c r="H22" i="6"/>
  <c r="M14" i="10"/>
  <c r="N14" i="10" s="1"/>
  <c r="O14" i="10" s="1"/>
  <c r="J15" i="10"/>
  <c r="K12" i="10"/>
  <c r="M11" i="10"/>
  <c r="N11" i="10" s="1"/>
  <c r="O11" i="10" s="1"/>
  <c r="H9" i="9"/>
  <c r="I6" i="9" s="1"/>
  <c r="G7" i="11" l="1"/>
  <c r="F10" i="18"/>
  <c r="M10" i="10"/>
  <c r="N10" i="10" s="1"/>
  <c r="O10" i="10" s="1"/>
  <c r="G24" i="6"/>
  <c r="F23" i="11"/>
  <c r="I12" i="15"/>
  <c r="I24" i="15" s="1"/>
  <c r="J12" i="11"/>
  <c r="J8" i="9"/>
  <c r="I22" i="6"/>
  <c r="K15" i="10"/>
  <c r="E20" i="16"/>
  <c r="E26" i="16" s="1"/>
  <c r="E27" i="16" s="1"/>
  <c r="E19" i="16"/>
  <c r="O6" i="10"/>
  <c r="I9" i="9"/>
  <c r="J6" i="9" s="1"/>
  <c r="K19" i="10"/>
  <c r="G21" i="11"/>
  <c r="G10" i="18" s="1"/>
  <c r="F18" i="16"/>
  <c r="L12" i="10"/>
  <c r="J18" i="10"/>
  <c r="H23" i="6"/>
  <c r="I20" i="6" s="1"/>
  <c r="H10" i="9"/>
  <c r="H24" i="6" l="1"/>
  <c r="E6" i="15"/>
  <c r="E8" i="15" s="1"/>
  <c r="E25" i="15" s="1"/>
  <c r="E34" i="15" s="1"/>
  <c r="F8" i="18"/>
  <c r="K18" i="10"/>
  <c r="J12" i="15"/>
  <c r="J24" i="15" s="1"/>
  <c r="K12" i="11"/>
  <c r="J22" i="6"/>
  <c r="K8" i="9"/>
  <c r="G23" i="11"/>
  <c r="L19" i="10"/>
  <c r="I10" i="9"/>
  <c r="F20" i="16"/>
  <c r="F26" i="16" s="1"/>
  <c r="F27" i="16" s="1"/>
  <c r="F19" i="16"/>
  <c r="L15" i="10"/>
  <c r="M12" i="10"/>
  <c r="J9" i="9"/>
  <c r="K6" i="9" s="1"/>
  <c r="I23" i="6"/>
  <c r="J20" i="6" s="1"/>
  <c r="H7" i="11"/>
  <c r="H12" i="9"/>
  <c r="H9" i="11" s="1"/>
  <c r="E28" i="16"/>
  <c r="E29" i="16" s="1"/>
  <c r="E24" i="16"/>
  <c r="E25" i="16" s="1"/>
  <c r="G8" i="18" l="1"/>
  <c r="E28" i="15"/>
  <c r="E35" i="15" s="1"/>
  <c r="E23" i="15"/>
  <c r="E33" i="15" s="1"/>
  <c r="E19" i="15"/>
  <c r="E21" i="15"/>
  <c r="J10" i="9"/>
  <c r="J12" i="9" s="1"/>
  <c r="J9" i="11" s="1"/>
  <c r="I24" i="6"/>
  <c r="J23" i="6"/>
  <c r="K20" i="6" s="1"/>
  <c r="K12" i="15"/>
  <c r="K24" i="15" s="1"/>
  <c r="L12" i="11"/>
  <c r="L8" i="9"/>
  <c r="K22" i="6"/>
  <c r="M19" i="10"/>
  <c r="H21" i="11"/>
  <c r="H10" i="18" s="1"/>
  <c r="K9" i="9"/>
  <c r="L6" i="9" s="1"/>
  <c r="F28" i="16"/>
  <c r="F29" i="16" s="1"/>
  <c r="F24" i="16"/>
  <c r="F25" i="16" s="1"/>
  <c r="F6" i="15"/>
  <c r="F8" i="15" s="1"/>
  <c r="N12" i="10"/>
  <c r="M15" i="10"/>
  <c r="I12" i="9"/>
  <c r="I9" i="11" s="1"/>
  <c r="I7" i="11"/>
  <c r="L18" i="10"/>
  <c r="E31" i="15" l="1"/>
  <c r="J7" i="11"/>
  <c r="E32" i="15"/>
  <c r="M18" i="10"/>
  <c r="O12" i="10"/>
  <c r="O15" i="10" s="1"/>
  <c r="N15" i="10"/>
  <c r="H23" i="11"/>
  <c r="L9" i="9"/>
  <c r="M6" i="9" s="1"/>
  <c r="N19" i="10"/>
  <c r="I21" i="11"/>
  <c r="I10" i="18" s="1"/>
  <c r="F25" i="15"/>
  <c r="F34" i="15" s="1"/>
  <c r="F23" i="15"/>
  <c r="F21" i="15"/>
  <c r="F19" i="15"/>
  <c r="F28" i="15"/>
  <c r="K10" i="9"/>
  <c r="G18" i="16"/>
  <c r="K23" i="6"/>
  <c r="L20" i="6" s="1"/>
  <c r="L12" i="15"/>
  <c r="L24" i="15" s="1"/>
  <c r="M12" i="11"/>
  <c r="M8" i="9"/>
  <c r="L22" i="6"/>
  <c r="J21" i="11"/>
  <c r="J10" i="18" s="1"/>
  <c r="J24" i="6"/>
  <c r="H8" i="18" l="1"/>
  <c r="O19" i="10"/>
  <c r="N18" i="10"/>
  <c r="O18" i="10" s="1"/>
  <c r="K24" i="6"/>
  <c r="L10" i="9"/>
  <c r="L7" i="11" s="1"/>
  <c r="J23" i="11"/>
  <c r="I18" i="16"/>
  <c r="I20" i="16" s="1"/>
  <c r="I26" i="16" s="1"/>
  <c r="I27" i="16" s="1"/>
  <c r="G19" i="16"/>
  <c r="G20" i="16"/>
  <c r="G26" i="16" s="1"/>
  <c r="G27" i="16" s="1"/>
  <c r="I23" i="11"/>
  <c r="K7" i="11"/>
  <c r="K12" i="9"/>
  <c r="K9" i="11" s="1"/>
  <c r="F33" i="15"/>
  <c r="F31" i="15"/>
  <c r="N12" i="15"/>
  <c r="N24" i="15" s="1"/>
  <c r="O12" i="11"/>
  <c r="N22" i="6"/>
  <c r="O8" i="9"/>
  <c r="L23" i="6"/>
  <c r="M20" i="6" s="1"/>
  <c r="F35" i="15"/>
  <c r="F32" i="15"/>
  <c r="H18" i="16"/>
  <c r="M9" i="9"/>
  <c r="N6" i="9" s="1"/>
  <c r="G6" i="15"/>
  <c r="G8" i="15" s="1"/>
  <c r="M12" i="15"/>
  <c r="M24" i="15" s="1"/>
  <c r="N12" i="11"/>
  <c r="N8" i="9"/>
  <c r="M22" i="6"/>
  <c r="I8" i="18" l="1"/>
  <c r="I6" i="15"/>
  <c r="I8" i="15" s="1"/>
  <c r="I21" i="15" s="1"/>
  <c r="J8" i="18"/>
  <c r="L12" i="9"/>
  <c r="L9" i="11" s="1"/>
  <c r="I19" i="16"/>
  <c r="I24" i="16" s="1"/>
  <c r="I25" i="16" s="1"/>
  <c r="H19" i="16"/>
  <c r="H20" i="16"/>
  <c r="H26" i="16" s="1"/>
  <c r="H27" i="16" s="1"/>
  <c r="M23" i="6"/>
  <c r="N20" i="6" s="1"/>
  <c r="G25" i="15"/>
  <c r="G34" i="15" s="1"/>
  <c r="G23" i="15"/>
  <c r="G21" i="15"/>
  <c r="G19" i="15"/>
  <c r="G28" i="15"/>
  <c r="H6" i="15"/>
  <c r="H8" i="15" s="1"/>
  <c r="N9" i="9"/>
  <c r="O6" i="9" s="1"/>
  <c r="K18" i="16"/>
  <c r="M10" i="9"/>
  <c r="L24" i="6"/>
  <c r="K21" i="11"/>
  <c r="J18" i="16"/>
  <c r="G28" i="16"/>
  <c r="G29" i="16" s="1"/>
  <c r="G24" i="16"/>
  <c r="G25" i="16" s="1"/>
  <c r="F14" i="18" l="1"/>
  <c r="I23" i="15"/>
  <c r="I25" i="15"/>
  <c r="I34" i="15" s="1"/>
  <c r="L21" i="11"/>
  <c r="K10" i="18"/>
  <c r="I19" i="15"/>
  <c r="I28" i="15"/>
  <c r="I35" i="15" s="1"/>
  <c r="N10" i="9"/>
  <c r="N12" i="9" s="1"/>
  <c r="N9" i="11" s="1"/>
  <c r="M24" i="6"/>
  <c r="I28" i="16"/>
  <c r="I29" i="16" s="1"/>
  <c r="M12" i="9"/>
  <c r="M9" i="11" s="1"/>
  <c r="M7" i="11"/>
  <c r="K23" i="11"/>
  <c r="O9" i="9"/>
  <c r="O10" i="9" s="1"/>
  <c r="N23" i="6"/>
  <c r="N24" i="6" s="1"/>
  <c r="J20" i="16"/>
  <c r="J26" i="16" s="1"/>
  <c r="J27" i="16" s="1"/>
  <c r="J19" i="16"/>
  <c r="K19" i="16"/>
  <c r="K20" i="16"/>
  <c r="K26" i="16" s="1"/>
  <c r="K27" i="16" s="1"/>
  <c r="H28" i="15"/>
  <c r="H25" i="15"/>
  <c r="H34" i="15" s="1"/>
  <c r="H23" i="15"/>
  <c r="H21" i="15"/>
  <c r="H19" i="15"/>
  <c r="G33" i="15"/>
  <c r="G31" i="15"/>
  <c r="I33" i="15"/>
  <c r="I31" i="15"/>
  <c r="G35" i="15"/>
  <c r="G32" i="15"/>
  <c r="H28" i="16"/>
  <c r="H29" i="16" s="1"/>
  <c r="H24" i="16"/>
  <c r="H25" i="16" s="1"/>
  <c r="N7" i="11" l="1"/>
  <c r="K8" i="18"/>
  <c r="I32" i="15"/>
  <c r="L23" i="11"/>
  <c r="L10" i="18"/>
  <c r="O7" i="11"/>
  <c r="O12" i="9"/>
  <c r="O9" i="11" s="1"/>
  <c r="J6" i="15"/>
  <c r="J8" i="15" s="1"/>
  <c r="N21" i="11"/>
  <c r="N10" i="18" s="1"/>
  <c r="M18" i="16"/>
  <c r="H33" i="15"/>
  <c r="H31" i="15"/>
  <c r="K28" i="16"/>
  <c r="K29" i="16" s="1"/>
  <c r="K24" i="16"/>
  <c r="K25" i="16" s="1"/>
  <c r="J28" i="16"/>
  <c r="J29" i="16" s="1"/>
  <c r="J24" i="16"/>
  <c r="J25" i="16" s="1"/>
  <c r="L18" i="16"/>
  <c r="M21" i="11"/>
  <c r="H32" i="15"/>
  <c r="H35" i="15"/>
  <c r="L8" i="18" l="1"/>
  <c r="K6" i="15"/>
  <c r="K8" i="15" s="1"/>
  <c r="K19" i="15" s="1"/>
  <c r="M10" i="18"/>
  <c r="M20" i="16"/>
  <c r="M26" i="16" s="1"/>
  <c r="M27" i="16" s="1"/>
  <c r="M19" i="16"/>
  <c r="O21" i="11"/>
  <c r="O10" i="18" s="1"/>
  <c r="N18" i="16"/>
  <c r="N23" i="11"/>
  <c r="L19" i="16"/>
  <c r="L20" i="16"/>
  <c r="L26" i="16" s="1"/>
  <c r="L27" i="16" s="1"/>
  <c r="M23" i="11"/>
  <c r="J25" i="15"/>
  <c r="J34" i="15" s="1"/>
  <c r="J23" i="15"/>
  <c r="J21" i="15"/>
  <c r="J19" i="15"/>
  <c r="J28" i="15"/>
  <c r="N8" i="18" l="1"/>
  <c r="M8" i="18"/>
  <c r="K21" i="15"/>
  <c r="K23" i="15"/>
  <c r="K28" i="15"/>
  <c r="K35" i="15" s="1"/>
  <c r="K25" i="15"/>
  <c r="K34" i="15" s="1"/>
  <c r="O23" i="11"/>
  <c r="M28" i="16"/>
  <c r="M29" i="16" s="1"/>
  <c r="M24" i="16"/>
  <c r="M25" i="16" s="1"/>
  <c r="L6" i="15"/>
  <c r="L8" i="15" s="1"/>
  <c r="M6" i="15"/>
  <c r="M8" i="15" s="1"/>
  <c r="K33" i="15"/>
  <c r="N20" i="16"/>
  <c r="N26" i="16" s="1"/>
  <c r="N27" i="16" s="1"/>
  <c r="N19" i="16"/>
  <c r="J33" i="15"/>
  <c r="J31" i="15"/>
  <c r="J35" i="15"/>
  <c r="J32" i="15"/>
  <c r="L28" i="16"/>
  <c r="L29" i="16" s="1"/>
  <c r="L24" i="16"/>
  <c r="L25" i="16" s="1"/>
  <c r="K31" i="15" l="1"/>
  <c r="K32" i="15"/>
  <c r="O8" i="18"/>
  <c r="F15" i="18" s="1"/>
  <c r="N6" i="15"/>
  <c r="N8" i="15" s="1"/>
  <c r="N19" i="15" s="1"/>
  <c r="L28" i="15"/>
  <c r="L25" i="15"/>
  <c r="L34" i="15" s="1"/>
  <c r="L23" i="15"/>
  <c r="L21" i="15"/>
  <c r="L19" i="15"/>
  <c r="N28" i="16"/>
  <c r="N29" i="16" s="1"/>
  <c r="N24" i="16"/>
  <c r="N25" i="16" s="1"/>
  <c r="M28" i="15"/>
  <c r="M25" i="15"/>
  <c r="M34" i="15" s="1"/>
  <c r="M23" i="15"/>
  <c r="M21" i="15"/>
  <c r="M19" i="15"/>
  <c r="F16" i="18" l="1"/>
  <c r="N21" i="15"/>
  <c r="N23" i="15"/>
  <c r="N33" i="15" s="1"/>
  <c r="N28" i="15"/>
  <c r="N25" i="15"/>
  <c r="N34" i="15" s="1"/>
  <c r="M33" i="15"/>
  <c r="M31" i="15"/>
  <c r="L32" i="15"/>
  <c r="L35" i="15"/>
  <c r="M32" i="15"/>
  <c r="M35" i="15"/>
  <c r="L33" i="15"/>
  <c r="L31" i="15"/>
  <c r="N32" i="15" l="1"/>
  <c r="N31" i="15"/>
  <c r="N35" i="15"/>
</calcChain>
</file>

<file path=xl/sharedStrings.xml><?xml version="1.0" encoding="utf-8"?>
<sst xmlns="http://schemas.openxmlformats.org/spreadsheetml/2006/main" count="1253" uniqueCount="664">
  <si>
    <t>◄ Prev. Pg</t>
  </si>
  <si>
    <t>◄◄◄ Control Panel</t>
  </si>
  <si>
    <t>Ref.</t>
  </si>
  <si>
    <t>Unit</t>
  </si>
  <si>
    <t>Source</t>
  </si>
  <si>
    <t>t
(2026)</t>
  </si>
  <si>
    <t>t+1
(2027)</t>
  </si>
  <si>
    <t>t+2
(2028)</t>
  </si>
  <si>
    <t>t+3
(2029)</t>
  </si>
  <si>
    <t>t+4
(2030)</t>
  </si>
  <si>
    <t>t+5
(2031)</t>
  </si>
  <si>
    <t>t+6
(2032)</t>
  </si>
  <si>
    <t>t+7
(2033)</t>
  </si>
  <si>
    <t>t+8
(2034)</t>
  </si>
  <si>
    <t>t+9
(2035)</t>
  </si>
  <si>
    <t>Base Year</t>
  </si>
  <si>
    <t>Projected →</t>
  </si>
  <si>
    <t>₦/kWh</t>
  </si>
  <si>
    <t>NIGER STATE ELECTRICITY REGULATORY COMMISSION  (NSERC)</t>
  </si>
  <si>
    <t>MINNA, NIGER STATE</t>
  </si>
  <si>
    <t>RETAIL TARIFF DETERMINATION MODEL</t>
  </si>
  <si>
    <t>Implementing NSERC Tariff Methodology Regulation 2026  (REGULATION NO: NSERC/R005)</t>
  </si>
  <si>
    <t>Established under Section 11(1)(b),(c),(g) and (4) of the Niger State Power Sector Law 2024</t>
  </si>
  <si>
    <t>Licensee Name</t>
  </si>
  <si>
    <t>Licence Type</t>
  </si>
  <si>
    <t>Licence Number</t>
  </si>
  <si>
    <t>Regulatory Period (t)</t>
  </si>
  <si>
    <t>2026 – 2030  (first 5-year period)</t>
  </si>
  <si>
    <t>Projection Horizon</t>
  </si>
  <si>
    <t>2026 – 2035  (two regulatory periods)</t>
  </si>
  <si>
    <t>Review Cycle</t>
  </si>
  <si>
    <t>Major: 5-yearly  |  Minor: Annual / 6-monthly</t>
  </si>
  <si>
    <t>Model Version</t>
  </si>
  <si>
    <t>v1.0</t>
  </si>
  <si>
    <t>Prepared By</t>
  </si>
  <si>
    <t>NSERC Tariff Team</t>
  </si>
  <si>
    <t>Approved By</t>
  </si>
  <si>
    <t>NSERC</t>
  </si>
  <si>
    <t>Commission Reference</t>
  </si>
  <si>
    <t>NSERC/R005 - January 2026</t>
  </si>
  <si>
    <t>Date Prepared</t>
  </si>
  <si>
    <t>NSERC APPROVED REVENUE REQUIREMENT FORMULA  (Section 4 — NSERC/R005)</t>
  </si>
  <si>
    <t>R  =  B × r  +  E  +  d  +  T</t>
  </si>
  <si>
    <t>R  =  Total Revenue Requirement (₦)</t>
  </si>
  <si>
    <t>B  =  Regulatory Asset Base - RAB  (Used &amp; Useful assets only)</t>
  </si>
  <si>
    <t>r  =  Weighted Average Cost of Capital - WACC  (D/C × Kd + E/C × Ke)</t>
  </si>
  <si>
    <t>E  =  Efficient Operating Expenses (OpEx + O&amp;M)</t>
  </si>
  <si>
    <t>d  =  Annual Depreciation (ODRC Method - economic life of assets)</t>
  </si>
  <si>
    <t>T  =  Taxes not counted as operating expenses</t>
  </si>
  <si>
    <t>INPUT / OUTPUT CONVENTION</t>
  </si>
  <si>
    <t>▮  Sample</t>
  </si>
  <si>
    <t>BLUE on gold  =  Licensee input</t>
  </si>
  <si>
    <t>BLACK on grey = Commission Input</t>
  </si>
  <si>
    <t>Black on white  =  Calculated formula (do not overwrite)</t>
  </si>
  <si>
    <t>Green on pale  =  Cross-sheet link from another tab</t>
  </si>
  <si>
    <t>Teal bold  =  Section sub-header</t>
  </si>
  <si>
    <t>Red  =  Warning / compliance check (requires attention)</t>
  </si>
  <si>
    <t>REVIEW CYCLES (per NSERC/R005 Section 5):  ANNUAL minor review (inflation, FX, fuel price)  |  6-MONTHLY minor review if exogenous shocks  |  5-YEARLY major review (all inputs, stakeholder consultation, max 6 months)</t>
  </si>
  <si>
    <t>KEY LEGAL REFERENCES</t>
  </si>
  <si>
    <t>• Section 11(1)(b)(c)(g) — Niger State Power Sector Law 2024: Commission's tariff-setting powers</t>
  </si>
  <si>
    <t>• Section 3.2.1 — NSERC/R005: Generation &amp; Transmission are pass-through only</t>
  </si>
  <si>
    <t>• Section 4.1.3 — NSERC/R005: Only 'prudently incurred, commissioned and actively used' assets in RAB</t>
  </si>
  <si>
    <t>• Section 4.2 — NSERC/R005: ODRC depreciation — adjusting for inflation + economic life</t>
  </si>
  <si>
    <t>• Section 4.3 — NSERC/R005: WACC = D/C×Kd + E/C×Ke; reviewed only at major review</t>
  </si>
  <si>
    <t>• Section 5.5 — NSERC/R005: DUOS charges capture capex, O&amp;M, losses and metering</t>
  </si>
  <si>
    <t>• Section 5.7 — NSERC/R005: Loss reduction trajectory established by Commission</t>
  </si>
  <si>
    <t>• Schedule 3 — NSERC/R005: Exact data requirements for Transmission/Distribution licence review</t>
  </si>
  <si>
    <t>◄ Previous Page</t>
  </si>
  <si>
    <t>NSERC DISCO TARIFF MODEL - NAVIGATION PANEL</t>
  </si>
  <si>
    <t>Regulation No: NSERC/R005  |  Niger State Power Sector Law 2024  |  Signed: Minna, March 2026</t>
  </si>
  <si>
    <t>COMMISSION PARAMETER SHEETS</t>
  </si>
  <si>
    <t>P1</t>
  </si>
  <si>
    <t>01_Macro_Parameters</t>
  </si>
  <si>
    <t>Commission-locked macro parameters: WACC, inflation, FX, losses, demand</t>
  </si>
  <si>
    <t>[Commission]</t>
  </si>
  <si>
    <t>P2</t>
  </si>
  <si>
    <t>LICENSEE INPUT SHEETS - Schedule 3 &amp; 4 (NSERC/R005)</t>
  </si>
  <si>
    <t>L1</t>
  </si>
  <si>
    <t>03_Fixed_Assets</t>
  </si>
  <si>
    <t>Fixed Assets Register &amp; Used-and-Useful RAB test (Schedule 3)</t>
  </si>
  <si>
    <t>[Licensee Input]</t>
  </si>
  <si>
    <t>L2</t>
  </si>
  <si>
    <t>04_CapEx_Programme</t>
  </si>
  <si>
    <t>Capital expenditure projection-- t-2 to t+4 (Schedule 3)</t>
  </si>
  <si>
    <t>L3</t>
  </si>
  <si>
    <t>05_OpEx_OM</t>
  </si>
  <si>
    <t>Operating &amp; Maintenance costs - actual (t-2,t-1) &amp; projected (Schedule 3&amp;4)</t>
  </si>
  <si>
    <t>L5</t>
  </si>
  <si>
    <t>Generation &amp; Transmission pass-through costs (Section 3.2.1)</t>
  </si>
  <si>
    <t>CALCULATION SHEETS</t>
  </si>
  <si>
    <t>C1</t>
  </si>
  <si>
    <t>Regulatory Asset Base roll-forward: Opening + CapEx − Depreciation</t>
  </si>
  <si>
    <t>[Calculated]</t>
  </si>
  <si>
    <t>C2</t>
  </si>
  <si>
    <t>ODRC depreciation schedule per asset class (Section 4.2)</t>
  </si>
  <si>
    <t>C4</t>
  </si>
  <si>
    <t>USER GUIDE — NSERC DISCO TARIFF DETERMINATION MODEL</t>
  </si>
  <si>
    <t>This model is built exclusively on NSERC/R005. It is NOT derived from any other state regulator's model.</t>
  </si>
  <si>
    <t>SECTION 1 — WHAT THIS MODEL DOES</t>
  </si>
  <si>
    <t>This model determines the Total Allowed Revenue (R) for a licensed DisCo in Niger State and converts it into electricity tariffs (₦/kWh). It follows the Rate-of-Return / Building Block methodology mandated in NSERC/R005.</t>
  </si>
  <si>
    <t>The three building blocks are: (1) Return on Capital [B×r], (2) Return of Capital [d = Depreciation], (3) Efficient Operating Costs [E]. Pass-through costs (Generation, Transmission) are added as a direct pass-through per Section 3.2.1.</t>
  </si>
  <si>
    <t>SECTION 2 — WHO FILLS WHAT</t>
  </si>
  <si>
    <t>COMMISSION (blue-gold cells, locked): WACC parameters, inflation, FX, loss trajectory, demand forecast benchmarks. These are 'Commission parameters' and cannot be changed by the licensee without a major review.</t>
  </si>
  <si>
    <t>LICENSEE (blue-gold cells, unlocked): Fixed assets register, CapEx programme, OpEx, actual sales data, pass-through cost invoices. This is the 'used and useful' cost data that the Commission reviews within 21 days per Schedule 1.</t>
  </si>
  <si>
    <t>SECTION 3 — STEP-BY-STEP WORKFLOW</t>
  </si>
  <si>
    <t>STEP 1 »  Open 01_Macro_Parameters. The Commission will pre-set WACC, CPI, FX, loss reduction targets. Licensee confirms energy demand data.</t>
  </si>
  <si>
    <t>STEP 2 »  Open 02_Loss_Trajectory. Record actual Technical Loss (TL) and Non-Technical Loss (NTL) separately. This feeds the DUOS uplift calculation.</t>
  </si>
  <si>
    <t>STEP 3 »  Open 03_Fixed_Assets. Enter your Fixed Assets Register. Each asset line is tested for 'Used &amp; Useful' status per Section 4.1.3. Only passing assets enter the RAB.</t>
  </si>
  <si>
    <t>STEP 4 »  Open 04_CapEx_Programme. Enter actual capex (t-2, t-1) and projected capex (t to t+4) per Schedule 3 format.</t>
  </si>
  <si>
    <t>STEP 5 »  Open 05_OpEx_OM. Enter actual O&amp;M and operating costs for t-2 and t-1 (actuals) and project forward. NSERC will benchmark against efficiency standards.</t>
  </si>
  <si>
    <t>STEP 6 »  Open 06_Energy_Sales. Enter actual and projected sales by customer class. This drives the ₦/kWh tariff division.</t>
  </si>
  <si>
    <t>STEP 7 »  Open 07_PassThrough. Enter NERC-approved Generation and Transmission tariffs. These are NOT recalculated — direct pass-through only.</t>
  </si>
  <si>
    <t>STEP 8 »  Sheets 08–11 calculate automatically: RAB roll, depreciation, WACC return, and total revenue requirement.</t>
  </si>
  <si>
    <t>STEP 9 »  Open 12_DUOS_Tariff and 13_Retail_Tariff to see the final ₦/kWh outputs by voltage class.</t>
  </si>
  <si>
    <t>STEP 10 » Check 14_Minor_Review_Tracker before each annual/6-monthly review. Only inflation, FX and fuel price may be adjusted in minor reviews.</t>
  </si>
  <si>
    <t>STEP 11 » Run 15_Compliance_Check. This flags gold-plating risks, RAB exclusions, and loss trajectory deviations.</t>
  </si>
  <si>
    <t>SECTION 4 — REVIEW CALENDAR (NSERC/R005 Section 5)</t>
  </si>
  <si>
    <t>ANNUAL MINOR REVIEW: Adjusts for CPI, FX, and fuel price only. Commences in the last month of current tariff year. Must not exceed 1 month.</t>
  </si>
  <si>
    <t>6-MONTHLY MINOR REVIEW: Only if rapid exogenous shocks. Requires Commission approval before implementation. Max 1 month duration.</t>
  </si>
  <si>
    <t>5-YEARLY MAJOR REVIEW: All inputs reviewed with stakeholders. Must commence &gt;1 year before new 5-year period. Max 6 months.</t>
  </si>
  <si>
    <t>SECTION 5 — KEY LEGAL REFERENCES</t>
  </si>
  <si>
    <t>01 — COMMISSION MACRO PARAMETERS  (NSERC/R005 Section 5.3)</t>
  </si>
  <si>
    <t>⚠  Parameters in this sheet are set by the Commission. Licensee must not alter Commission-locked cells. WACC parameters reviewed only at major (5-yearly) review per Section 4.3.</t>
  </si>
  <si>
    <t>No.</t>
  </si>
  <si>
    <t>Parameter</t>
  </si>
  <si>
    <t>Source/Lock</t>
  </si>
  <si>
    <t>t-2
(2024)</t>
  </si>
  <si>
    <t>t-1
(2025)</t>
  </si>
  <si>
    <t>A.  WACC PARAMETERS  —  NSERC/R005 Section 4.3  |  WACC = D/C × Kd + E/C × Ke</t>
  </si>
  <si>
    <t>A1</t>
  </si>
  <si>
    <t>Debt Share  (D/C)</t>
  </si>
  <si>
    <t>%</t>
  </si>
  <si>
    <t>Commission</t>
  </si>
  <si>
    <t>A2</t>
  </si>
  <si>
    <t>Equity Share  (E/C)</t>
  </si>
  <si>
    <t>Calculated</t>
  </si>
  <si>
    <t>A3</t>
  </si>
  <si>
    <t>Corporate Tax Rate</t>
  </si>
  <si>
    <t>A4</t>
  </si>
  <si>
    <t>Cost of Debt  (Kd)</t>
  </si>
  <si>
    <t>A5</t>
  </si>
  <si>
    <t>Risk-Free Rate  (Rf)</t>
  </si>
  <si>
    <t>A6</t>
  </si>
  <si>
    <t>Expected Market Return  (Rm)</t>
  </si>
  <si>
    <t>A7</t>
  </si>
  <si>
    <t>Equity Beta  (β)</t>
  </si>
  <si>
    <t>pu</t>
  </si>
  <si>
    <t>A8</t>
  </si>
  <si>
    <t>Market Risk Premium  (Rm − Rf)</t>
  </si>
  <si>
    <t>A9</t>
  </si>
  <si>
    <t>Cost of Equity  (Ke)  [CAPM]</t>
  </si>
  <si>
    <t>A10</t>
  </si>
  <si>
    <t>Pre-Tax WACC</t>
  </si>
  <si>
    <t>A11</t>
  </si>
  <si>
    <t>Post-Tax WACC  (used in model)</t>
  </si>
  <si>
    <t>B.  EXOGENOUS PARAMETERS  —  Minor Review Drivers  (Section 5.1 &amp; 5.2)</t>
  </si>
  <si>
    <t>B1</t>
  </si>
  <si>
    <t>Consumer Price Inflation  (CPI)</t>
  </si>
  <si>
    <t>B2</t>
  </si>
  <si>
    <t>USD/NGN Exchange Rate</t>
  </si>
  <si>
    <t>₦/USD</t>
  </si>
  <si>
    <t>B3</t>
  </si>
  <si>
    <t>Generation Fuel Price Index  (base = 100)</t>
  </si>
  <si>
    <t>Index</t>
  </si>
  <si>
    <t>C.  ENERGY DEMAND FORECAST  —  Commission Benchmark  (Section 5.3)</t>
  </si>
  <si>
    <t>System Peak Demand  (MW)</t>
  </si>
  <si>
    <t>MW</t>
  </si>
  <si>
    <t>System Load Factor</t>
  </si>
  <si>
    <t>C3</t>
  </si>
  <si>
    <t>Hours in Year</t>
  </si>
  <si>
    <t>hrs</t>
  </si>
  <si>
    <t>Fixed</t>
  </si>
  <si>
    <t>Gross Energy at Grid Entry  (MWh)</t>
  </si>
  <si>
    <t>MWh</t>
  </si>
  <si>
    <t>D.  NSERC REGULATORY LEVY  (Commission rate)</t>
  </si>
  <si>
    <t>D1</t>
  </si>
  <si>
    <t>NSERC Regulatory Levy Rate  (% of Gross Revenue)</t>
  </si>
  <si>
    <t>03 - FIXED ASSETS REGISTER  |  REGULATORY ASSET BASE  (RAB)  |  'USED &amp; USEFUL' TEST</t>
  </si>
  <si>
    <t>NSERC/R005 Section 4.1: Only assets 'prudently incurred, commissioned and actively used' qualify for RAB inclusion. Administrative / non-core assets excluded unless demonstrably necessary.</t>
  </si>
  <si>
    <t>Asset
Ref.</t>
  </si>
  <si>
    <t>Asset Description</t>
  </si>
  <si>
    <t>Asset Category</t>
  </si>
  <si>
    <t>Qty</t>
  </si>
  <si>
    <t>Gross Value (₦)</t>
  </si>
  <si>
    <t>Used &amp; Useful?
(Y/N)</t>
  </si>
  <si>
    <t>Approved RAB
Value (₦)</t>
  </si>
  <si>
    <t>% of Total
RAB</t>
  </si>
  <si>
    <t xml:space="preserve">  Land  -  Useful Life: 50 years  |  SL Dep. Rate: 2.0% p.a.</t>
  </si>
  <si>
    <t>LAN-01</t>
  </si>
  <si>
    <t>Land - Parking Lots</t>
  </si>
  <si>
    <t>Land</t>
  </si>
  <si>
    <t>Nos</t>
  </si>
  <si>
    <t>Y</t>
  </si>
  <si>
    <t>LAN-02</t>
  </si>
  <si>
    <t>Land - Office Premises</t>
  </si>
  <si>
    <t>LAN-03</t>
  </si>
  <si>
    <t>Land - Sub-Station Sites</t>
  </si>
  <si>
    <t>LAN-04</t>
  </si>
  <si>
    <t>LAN-05</t>
  </si>
  <si>
    <t>Sub-total - Land</t>
  </si>
  <si>
    <t xml:space="preserve">  Building &amp; Fixtures  -  Useful Life: 50 years  |  SL Dep. Rate: 2.0% p.a.</t>
  </si>
  <si>
    <t>BUI-01</t>
  </si>
  <si>
    <t>Business Unit Buildings</t>
  </si>
  <si>
    <t>Building &amp; Fixtures</t>
  </si>
  <si>
    <t>BUI-02</t>
  </si>
  <si>
    <t>Service Centre Buildings</t>
  </si>
  <si>
    <t>BUI-03</t>
  </si>
  <si>
    <t>Sub-Station Buildings</t>
  </si>
  <si>
    <t>BUI-04</t>
  </si>
  <si>
    <t>BUI-05</t>
  </si>
  <si>
    <t>Sub-total - Building &amp; Fixtures</t>
  </si>
  <si>
    <t xml:space="preserve">  Substations  -  Useful Life: 20 years  |  SL Dep. Rate: 5.0% p.a.</t>
  </si>
  <si>
    <t>SUB-01</t>
  </si>
  <si>
    <t>132/33kV Injection Substations</t>
  </si>
  <si>
    <t>Substations</t>
  </si>
  <si>
    <t>SUB-02</t>
  </si>
  <si>
    <t>33/11kV Primary Substations</t>
  </si>
  <si>
    <t>SUB-03</t>
  </si>
  <si>
    <t>11/0.415kV Secondary Subst.</t>
  </si>
  <si>
    <t>SUB-04</t>
  </si>
  <si>
    <t>SUB-05</t>
  </si>
  <si>
    <t>Sub-total - Substations</t>
  </si>
  <si>
    <t xml:space="preserve">  Lines  -  Useful Life: 20 years  |  SL Dep. Rate: 5.0% p.a.</t>
  </si>
  <si>
    <t>LIN-01</t>
  </si>
  <si>
    <t>33kV Overhead Lines (km)</t>
  </si>
  <si>
    <t>Lines</t>
  </si>
  <si>
    <t>km</t>
  </si>
  <si>
    <t>LIN-02</t>
  </si>
  <si>
    <t>11kV Overhead Lines (km)</t>
  </si>
  <si>
    <t>LIN-03</t>
  </si>
  <si>
    <t>LV Lines (km)</t>
  </si>
  <si>
    <t>LIN-04</t>
  </si>
  <si>
    <t>Underground Cables (km)</t>
  </si>
  <si>
    <t>LIN-05</t>
  </si>
  <si>
    <t>Sub-total - Lines</t>
  </si>
  <si>
    <t xml:space="preserve">  Transformers  -  Useful Life: 20 years  |  SL Dep. Rate: 5.0% p.a.</t>
  </si>
  <si>
    <t>TRA-01</t>
  </si>
  <si>
    <t>33/11kV Power Transformers</t>
  </si>
  <si>
    <t>Transformers</t>
  </si>
  <si>
    <t>TRA-02</t>
  </si>
  <si>
    <t>11/0.415kV Distribution Tfmrs</t>
  </si>
  <si>
    <t>TRA-03</t>
  </si>
  <si>
    <t>Pole-Mounted Tfmrs</t>
  </si>
  <si>
    <t>TRA-04</t>
  </si>
  <si>
    <t>TRA-05</t>
  </si>
  <si>
    <t>Sub-total - Transformers</t>
  </si>
  <si>
    <t xml:space="preserve">  Meters  -  Useful Life: 10 years  |  SL Dep. Rate: 10.0% p.a.</t>
  </si>
  <si>
    <t>MET-01</t>
  </si>
  <si>
    <t>Single-Phase Meters</t>
  </si>
  <si>
    <t>Meters</t>
  </si>
  <si>
    <t>MET-02</t>
  </si>
  <si>
    <t>Three-Phase Meters</t>
  </si>
  <si>
    <t>MET-03</t>
  </si>
  <si>
    <t>AMI/Smart Meters</t>
  </si>
  <si>
    <t>MET-04</t>
  </si>
  <si>
    <t>CT Metering Sets</t>
  </si>
  <si>
    <t>MET-05</t>
  </si>
  <si>
    <t>Test run</t>
  </si>
  <si>
    <t>N</t>
  </si>
  <si>
    <t>Sub-total - Meters</t>
  </si>
  <si>
    <t xml:space="preserve">  ICT &amp; SCADA  -  Useful Life: 5 years  |  SL Dep. Rate: 20.0% p.a.</t>
  </si>
  <si>
    <t>ICT-01</t>
  </si>
  <si>
    <t>SCADA Systems</t>
  </si>
  <si>
    <t>ICT &amp; SCADA</t>
  </si>
  <si>
    <t>ICT-02</t>
  </si>
  <si>
    <t>Computers &amp; Servers</t>
  </si>
  <si>
    <t>ICT-03</t>
  </si>
  <si>
    <t>Communication Equipment</t>
  </si>
  <si>
    <t>ICT-04</t>
  </si>
  <si>
    <t>Billing Software</t>
  </si>
  <si>
    <t>ICT-05</t>
  </si>
  <si>
    <t>Sub-total - ICT &amp; SCADA</t>
  </si>
  <si>
    <t xml:space="preserve">  Vehicles &amp; Equipment  -  Useful Life: 5 years  |  SL Dep. Rate: 20.0% p.a.</t>
  </si>
  <si>
    <t>VEH-01</t>
  </si>
  <si>
    <t>Service Vehicles</t>
  </si>
  <si>
    <t>Vehicles &amp; Equipment</t>
  </si>
  <si>
    <t>VEH-02</t>
  </si>
  <si>
    <t>Generator Sets</t>
  </si>
  <si>
    <t>VEH-03</t>
  </si>
  <si>
    <t>Tools &amp; Test Equipment</t>
  </si>
  <si>
    <t>VEH-04</t>
  </si>
  <si>
    <t>VEH-05</t>
  </si>
  <si>
    <t>Sub-total - Vehicles &amp; Equipment</t>
  </si>
  <si>
    <t xml:space="preserve">  Furniture &amp; Office Equip.  -  Useful Life: 5 years  |  SL Dep. Rate: 20.0% p.a.</t>
  </si>
  <si>
    <t>FUR-01</t>
  </si>
  <si>
    <t>Office Furniture</t>
  </si>
  <si>
    <t>Furniture &amp; Office Equip.</t>
  </si>
  <si>
    <t>FUR-02</t>
  </si>
  <si>
    <t>Office Equipment</t>
  </si>
  <si>
    <t>FUR-03</t>
  </si>
  <si>
    <t>FUR-04</t>
  </si>
  <si>
    <t>FUR-05</t>
  </si>
  <si>
    <t>Sub-total - Furniture &amp; Office Equip.</t>
  </si>
  <si>
    <t>TOTAL REGULATORY ASSET BASE  (Approved - Used &amp; Useful Only)</t>
  </si>
  <si>
    <t>← Named: RAB_TOTAL</t>
  </si>
  <si>
    <t>USED &amp; USEFUL EXCLUSION SUMMARY - Assets NOT entering RAB</t>
  </si>
  <si>
    <t>Count of excluded assets</t>
  </si>
  <si>
    <t>Gross value of excluded assets (₦)</t>
  </si>
  <si>
    <t>₦</t>
  </si>
  <si>
    <t>04 — CAPEX PROGRAMME  (t-2 Actuals → t+4 Projections)  —  Schedule 3, NSERC/R005</t>
  </si>
  <si>
    <t>Enter actual capex for t-2 and t-1; project forward to t+4. Commission tests all capex for prudency and 'used &amp; useful' compliance before allowing into RAB.</t>
  </si>
  <si>
    <t>CapEx Category</t>
  </si>
  <si>
    <t>Subtotal (₦)</t>
  </si>
  <si>
    <t>Previous Year-1</t>
  </si>
  <si>
    <t>Previous Year</t>
  </si>
  <si>
    <t>K1</t>
  </si>
  <si>
    <t>Sub-Stations (new construction / upgrade)</t>
  </si>
  <si>
    <t>K2</t>
  </si>
  <si>
    <t>Transmission / HV Lines (33kV and above)</t>
  </si>
  <si>
    <t>K3</t>
  </si>
  <si>
    <t>Distribution Lines (11kV and LV)</t>
  </si>
  <si>
    <t>K4</t>
  </si>
  <si>
    <t>Distribution Transformers</t>
  </si>
  <si>
    <t>K5</t>
  </si>
  <si>
    <t>Metering Infrastructure  (incl. AMI/smart meters)</t>
  </si>
  <si>
    <t>K6</t>
  </si>
  <si>
    <t>SCADA &amp; Automation Systems</t>
  </si>
  <si>
    <t>K7</t>
  </si>
  <si>
    <t>Vehicles &amp; Heavy Equipment</t>
  </si>
  <si>
    <t>K8</t>
  </si>
  <si>
    <t>ICT &amp; Billing Infrastructure</t>
  </si>
  <si>
    <t>K9</t>
  </si>
  <si>
    <t>Ancillary / Other Approved CapEx</t>
  </si>
  <si>
    <t>TOTAL ANNUAL CAPEX (₦)</t>
  </si>
  <si>
    <t>RAB ROLL-FORWARD  (Opening RAB + CapEx − Depreciation)</t>
  </si>
  <si>
    <t>Item</t>
  </si>
  <si>
    <t>R1</t>
  </si>
  <si>
    <t>Opening RAB  (₦)</t>
  </si>
  <si>
    <t>R2</t>
  </si>
  <si>
    <t>Annual Approved CapEx  (₦)</t>
  </si>
  <si>
    <t>R3</t>
  </si>
  <si>
    <t>Annual Depreciation  (₦)</t>
  </si>
  <si>
    <t>R4</t>
  </si>
  <si>
    <t>Closing RAB  (₦)</t>
  </si>
  <si>
    <t>R5</t>
  </si>
  <si>
    <t>Average RAB  [(Opening+Closing)/2]  (₦)</t>
  </si>
  <si>
    <t>05 — OPERATING &amp; MAINTENANCE COSTS  |  Schedule 3 Format  (NSERC/R005)</t>
  </si>
  <si>
    <t>NSERC/R005 Section 4.4: O&amp;M costs include spinning reserve &amp; reliability-improving repairs. Enter t-2 &amp; t-1 actuals; project forward. Commission benchmarks against efficiency standards. Gold-plating / cost-padding triggers exclusion.</t>
  </si>
  <si>
    <t>Cost Line Item  (USoA aligned)</t>
  </si>
  <si>
    <t>A. FIXED ASSETS &amp; CAPITAL</t>
  </si>
  <si>
    <t>E01</t>
  </si>
  <si>
    <t>Opening Fixed Assets  (Gross Book Value)</t>
  </si>
  <si>
    <t>E02</t>
  </si>
  <si>
    <t>Additions during Period  (CapEx)</t>
  </si>
  <si>
    <t>E03</t>
  </si>
  <si>
    <t>Disposals / Write-offs during Period</t>
  </si>
  <si>
    <t>E04</t>
  </si>
  <si>
    <t>Closing Fixed Assets  (Gross Book Value)</t>
  </si>
  <si>
    <t>Sub-total: FIXED ASSETS &amp; CAPITAL</t>
  </si>
  <si>
    <t>B. OPERATION &amp; MAINTENANCE COSTS  (O&amp;M Fixed)</t>
  </si>
  <si>
    <t>E05</t>
  </si>
  <si>
    <t>Operations Labour  (distribution)</t>
  </si>
  <si>
    <t>E06</t>
  </si>
  <si>
    <t>Sub-Station Operations  (supplies &amp; expenses)</t>
  </si>
  <si>
    <t>E07</t>
  </si>
  <si>
    <t>Overhead Lines O&amp;M</t>
  </si>
  <si>
    <t>E08</t>
  </si>
  <si>
    <t>Underground Cables O&amp;M</t>
  </si>
  <si>
    <t>E09</t>
  </si>
  <si>
    <t>Transformer Maintenance</t>
  </si>
  <si>
    <t>E10</t>
  </si>
  <si>
    <t>Metering Maintenance</t>
  </si>
  <si>
    <t>E11</t>
  </si>
  <si>
    <t>SCADA / ICT Maintenance</t>
  </si>
  <si>
    <t>E12</t>
  </si>
  <si>
    <t>Customer Installation Costs</t>
  </si>
  <si>
    <t>E13</t>
  </si>
  <si>
    <t>Ancillary Services Cost</t>
  </si>
  <si>
    <t>E14</t>
  </si>
  <si>
    <t>Spinning Reserve  (reliability — per Section 4.4)</t>
  </si>
  <si>
    <t>E15</t>
  </si>
  <si>
    <t>Street Lighting / Signal Systems</t>
  </si>
  <si>
    <t>E16</t>
  </si>
  <si>
    <t>Rent &amp; Occupancy</t>
  </si>
  <si>
    <t>E17</t>
  </si>
  <si>
    <t>Miscellaneous O&amp;M  (distribution)</t>
  </si>
  <si>
    <t>Sub-total: OPERATION &amp; MAINTENANCE COSTS  (O&amp;M Fixed)</t>
  </si>
  <si>
    <t>C. ADMINISTRATIVE &amp; GENERAL EXPENSES  (O&amp;M Variable / Admin)</t>
  </si>
  <si>
    <t>E18</t>
  </si>
  <si>
    <t>Management &amp; Administration Labour</t>
  </si>
  <si>
    <t>E19</t>
  </si>
  <si>
    <t>Office Overheads &amp; Supplies</t>
  </si>
  <si>
    <t>E20</t>
  </si>
  <si>
    <t>Customer Service &amp; Metering  (billing)</t>
  </si>
  <si>
    <t>E21</t>
  </si>
  <si>
    <t>Legal, Audit &amp; Regulatory Fees</t>
  </si>
  <si>
    <t>E22</t>
  </si>
  <si>
    <t>Training &amp; Capacity Development</t>
  </si>
  <si>
    <t>E23</t>
  </si>
  <si>
    <t>Insurance Premiums</t>
  </si>
  <si>
    <t>E24</t>
  </si>
  <si>
    <t>Fixed Cost — Other Admin</t>
  </si>
  <si>
    <t>Sub-total: ADMINISTRATIVE &amp; GENERAL EXPENSES  (O&amp;M Variable / Admin)</t>
  </si>
  <si>
    <t>TOTAL OPERATING &amp; MAINTENANCE COSTS  € -  Revenue Requirement Input</t>
  </si>
  <si>
    <t>⚠  NSERC/R005 Section 3.2.1: 'Generation and transmission tariffs from the national grid determined by national authorities shall be treated strictly as pass-through costs and shall NOT be recalculated by the Commission.' Enter NERC-approved tariffs below.</t>
  </si>
  <si>
    <t>A.  ENERGY VOLUME AT GRID ENTRY  (from 02_Loss_Trajectory)</t>
  </si>
  <si>
    <t>PT1</t>
  </si>
  <si>
    <t>← 01_Macro_Params</t>
  </si>
  <si>
    <t>B.  NERC-APPROVED PASS-THROUGH TARIFFS  (input from NERC order)</t>
  </si>
  <si>
    <t>PT2</t>
  </si>
  <si>
    <t>Generation Tariff  (NERC-approved  ₦/kWh)</t>
  </si>
  <si>
    <t>NERC Order</t>
  </si>
  <si>
    <t>PT3</t>
  </si>
  <si>
    <t>Transmission Tariff  (NERC-approved  ₦/kWh)</t>
  </si>
  <si>
    <t>C.  TOTAL PASS-THROUGH COSTS  (₦)  —  AUTOMATICALLY CALCULATED</t>
  </si>
  <si>
    <t>PT4</t>
  </si>
  <si>
    <t>Total Generation Cost  (₦)  =  Tariff × Energy × 1000</t>
  </si>
  <si>
    <t>PT5</t>
  </si>
  <si>
    <t>Total Transmission Cost  (₦)  =  Tariff × Energy × 1000</t>
  </si>
  <si>
    <t>TOTAL PASS-THROUGH COST  (₦)  [Generation + Transmission]</t>
  </si>
  <si>
    <t>The RAB is rolled forward each year: Opening RAB + New CapEx − Depreciation = Closing RAB. Only 'prudently incurred' assets qualify. WACC applied to average RAB to get Return on Capital (B×r).</t>
  </si>
  <si>
    <t>RAB Component</t>
  </si>
  <si>
    <t>RAB1</t>
  </si>
  <si>
    <t>← 04_CapEx_Prog</t>
  </si>
  <si>
    <t>RAB2</t>
  </si>
  <si>
    <t>Add: Approved New CapEx  (₦)</t>
  </si>
  <si>
    <t>RAB3</t>
  </si>
  <si>
    <t>Less: Annual Depreciation  (₦)</t>
  </si>
  <si>
    <t>RAB4</t>
  </si>
  <si>
    <t>← Calculated</t>
  </si>
  <si>
    <t>RAB5</t>
  </si>
  <si>
    <t>Average RAB  (₦)  [(Opening+Closing)/2]</t>
  </si>
  <si>
    <t>RAB6</t>
  </si>
  <si>
    <t>Post-Tax WACC</t>
  </si>
  <si>
    <t>← 01_Macro_Param</t>
  </si>
  <si>
    <t>RAB7</t>
  </si>
  <si>
    <t>Return on Capital  B×r  =  Avg RAB × WACC</t>
  </si>
  <si>
    <t>NSERC/R005 Section 4.2: ODRC method — adjust asset cost from year of purchase to tariff year, optimise capacity, apply SL depreciation over economic life. CPI used for inflation adjustment.</t>
  </si>
  <si>
    <t>Asset Class</t>
  </si>
  <si>
    <t>Life</t>
  </si>
  <si>
    <t>SL Rate</t>
  </si>
  <si>
    <t>D01</t>
  </si>
  <si>
    <t>D02</t>
  </si>
  <si>
    <t>D03</t>
  </si>
  <si>
    <t>D04</t>
  </si>
  <si>
    <t>Lines  (33kV &amp; 11kV)</t>
  </si>
  <si>
    <t>D05</t>
  </si>
  <si>
    <t>Distribution Tfmrs</t>
  </si>
  <si>
    <t>D06</t>
  </si>
  <si>
    <t>D07</t>
  </si>
  <si>
    <t>D08</t>
  </si>
  <si>
    <t>D09</t>
  </si>
  <si>
    <t>Furniture &amp; Office Eq.</t>
  </si>
  <si>
    <t>TOTAL ANNUAL DEPRECIATION  (d)  — Revenue Requirement Input</t>
  </si>
  <si>
    <t>ACCUMULATED DEPRECIATION &amp; NET BOOK VALUE  (informational)</t>
  </si>
  <si>
    <t>Accum. Depreciation (₦)</t>
  </si>
  <si>
    <t>Net Book Value  (Opening RAB − Accum. Dep)  (₦)</t>
  </si>
  <si>
    <t>Block</t>
  </si>
  <si>
    <t>Revenue Requirement Component</t>
  </si>
  <si>
    <t>Source Sheet</t>
  </si>
  <si>
    <t>BUILDING BLOCK 1 — RETURN ON CAPITAL  (B × r)  [Section 4.1 &amp; 4.3]</t>
  </si>
  <si>
    <t>BB1</t>
  </si>
  <si>
    <t>Average RAB  (₦)</t>
  </si>
  <si>
    <t>BB2</t>
  </si>
  <si>
    <t>BB3</t>
  </si>
  <si>
    <t>RETURN ON CAPITAL  (B×r = BB1 × BB2)</t>
  </si>
  <si>
    <t>BUILDING BLOCK 2 — RETURN OF CAPITAL  (d = Depreciation)  [Section 4.2]</t>
  </si>
  <si>
    <t>BB4</t>
  </si>
  <si>
    <t>ANNUAL DEPRECIATION  (d)  [ODRC Method]</t>
  </si>
  <si>
    <t>BUILDING BLOCK 3 — OPERATING EXPENSES  (E)  [Section 4.4]</t>
  </si>
  <si>
    <t>BB5</t>
  </si>
  <si>
    <t>OPERATING &amp; MAINTENANCE EXPENSES  (E)</t>
  </si>
  <si>
    <t>← 05_OpEx_OM</t>
  </si>
  <si>
    <t>PASS-THROUGH COSTS — Generation &amp; Transmission  [Section 3.2.1]</t>
  </si>
  <si>
    <t>PT</t>
  </si>
  <si>
    <t>PASS-THROUGH COSTS  (Generation + Transmission)</t>
  </si>
  <si>
    <t>NSERC REGULATORY LEVY  [Commission rate — Section D]</t>
  </si>
  <si>
    <t>RL</t>
  </si>
  <si>
    <t>NSERC REGULATORY LEVY  (% of sub-total Building Blocks)</t>
  </si>
  <si>
    <t>TOTAL ALLOWED REVENUE  R = B×r + d + E + PT + Levy  (₦)</t>
  </si>
  <si>
    <t>AVERAGE TARIFF ANALYSIS  —  R = Total Allowed Revenue ÷ Net Energy Sold</t>
  </si>
  <si>
    <t>AT1</t>
  </si>
  <si>
    <t>AT2</t>
  </si>
  <si>
    <t>AVERAGE RETAIL TARIFF  (₦/kWh)  =  Total Revenue ÷ Net Energy</t>
  </si>
  <si>
    <t>AT3</t>
  </si>
  <si>
    <t xml:space="preserve">  of which: Pass-Through (Gen + Trans)  (₦/kWh)</t>
  </si>
  <si>
    <t>AT4</t>
  </si>
  <si>
    <t>PERIOD AVERAGE BENCHMARKS</t>
  </si>
  <si>
    <t>Period 1 (2026–2030)</t>
  </si>
  <si>
    <t>Period 2 (2031–2035)</t>
  </si>
  <si>
    <t>10-Year Average  (2026–2035)</t>
  </si>
  <si>
    <t>17 — MINI-GRID &amp; EMBEDDED GENERATION TARIFF MODULE  (NSERC/R005 Section 3.2)</t>
  </si>
  <si>
    <t>NSERC/R005 Sections 3.2 &amp; 3.3: Commission determines tariffs for embedded generation and mini-grid/isolated systems under its jurisdiction. This module computes the levelised cost of electricity (LCOE) and the allowed tariff for each licensed mini-grid.</t>
  </si>
  <si>
    <t>A.  MINI-GRID PROJECT PARAMETERS  (per licensed project — enter per-project data)</t>
  </si>
  <si>
    <t>⚠  Complete one block below for EACH licensed mini-grid / embedded generation project. Commission reviews each project's cost within 21 days per Schedule 1 (NSERC/R005). Only 'prudently incurred' costs qualify. Attach FSA, EPC, and O&amp;M agreements per Schedule 2.</t>
  </si>
  <si>
    <t>MG1</t>
  </si>
  <si>
    <t>Project Name / Location</t>
  </si>
  <si>
    <t>Text</t>
  </si>
  <si>
    <t>MG2</t>
  </si>
  <si>
    <t>Technology Type  (Solar PV / Gas / Hydro / Wind / Hybrid)</t>
  </si>
  <si>
    <t>MG3</t>
  </si>
  <si>
    <t>Installed Capacity  (kW)</t>
  </si>
  <si>
    <t>kW</t>
  </si>
  <si>
    <t>MG4</t>
  </si>
  <si>
    <t>Capacity Factor</t>
  </si>
  <si>
    <t>MG5</t>
  </si>
  <si>
    <t>Annual Energy Output  (MWh)</t>
  </si>
  <si>
    <t>MG6</t>
  </si>
  <si>
    <t>Economic Life of Plant  (years)</t>
  </si>
  <si>
    <t>yrs</t>
  </si>
  <si>
    <t>MG7</t>
  </si>
  <si>
    <t>Capital Cost  (₦)  — EPC cost</t>
  </si>
  <si>
    <t>MG8</t>
  </si>
  <si>
    <t>Capital Cost per kW  (₦/kW)</t>
  </si>
  <si>
    <t>₦/kW</t>
  </si>
  <si>
    <t>MG9</t>
  </si>
  <si>
    <t>Annual Fixed O&amp;M Cost  (₦)</t>
  </si>
  <si>
    <t>MG10</t>
  </si>
  <si>
    <t>Variable O&amp;M Cost  (₦/kWh)</t>
  </si>
  <si>
    <t>MG11</t>
  </si>
  <si>
    <t>Annual Fuel Cost  (₦)  [if applicable]</t>
  </si>
  <si>
    <t>MG12</t>
  </si>
  <si>
    <t>Annual Auxiliary / Ancillary Cost  (₦)</t>
  </si>
  <si>
    <t>MG13</t>
  </si>
  <si>
    <t>Availability Factor</t>
  </si>
  <si>
    <t>MG14</t>
  </si>
  <si>
    <t>Number of Customers Served</t>
  </si>
  <si>
    <t>MG15</t>
  </si>
  <si>
    <t>Average Load per Customer  (kWh/month)</t>
  </si>
  <si>
    <t>kWh/mo</t>
  </si>
  <si>
    <t>B.  LEVELISED COST OF ELECTRICITY  (LCOE) — ₦/kWh</t>
  </si>
  <si>
    <t>LCOE (₦/kWh)  =  [Capital Recovery + Total Annual O&amp;M + Fuel + Ancillary]  ÷  Annual Energy Delivered  Capital Recovery Factor  =  WACC × (1+WACC)^n ÷ [(1+WACC)^n − 1]  where n = Economic Life</t>
  </si>
  <si>
    <t>WACC for Mini-Grid  (may differ — embedded risk)</t>
  </si>
  <si>
    <t>Economic Life  (years)</t>
  </si>
  <si>
    <t>Capital Recovery Factor  (CRF)</t>
  </si>
  <si>
    <t>—</t>
  </si>
  <si>
    <t>L4</t>
  </si>
  <si>
    <t>Annual Capital Recovery Cost  (₦)  = CRF × CapEx</t>
  </si>
  <si>
    <t>Total Annual O&amp;M + Fuel + Ancillary  (₦)</t>
  </si>
  <si>
    <t>L6</t>
  </si>
  <si>
    <t>Annual Energy Delivered  (MWh)</t>
  </si>
  <si>
    <t>L7</t>
  </si>
  <si>
    <t>LCOE  (₦/kWh)</t>
  </si>
  <si>
    <t>L8</t>
  </si>
  <si>
    <t>Allowable Mark-Up for DisCo Distribution  (%)</t>
  </si>
  <si>
    <t>L9</t>
  </si>
  <si>
    <t>NSERC Regulatory Levy on Mini-Grid</t>
  </si>
  <si>
    <t>L10</t>
  </si>
  <si>
    <t>MINI-GRID RETAIL TARIFF  (₦/kWh)</t>
  </si>
  <si>
    <t>C.  AFFORDABILITY INCENTIVE  (NSERC/R005 Section 5.3: generators may be required to locate close to load centres to reduce costs)</t>
  </si>
  <si>
    <t>Distance to Grid  (km)</t>
  </si>
  <si>
    <t>Proximity Benefit  (reduction in transmission cost if within 10km of load centre — estimated)</t>
  </si>
  <si>
    <t>18 — INVESTOR &amp; FINANCIER RETURNS  (DisCo Financial Viability  —  NSERC/R005 Section 4.3)</t>
  </si>
  <si>
    <t>NSERC/R005 Section 4.3: The allowed return on capital is aimed at providing appropriate incentives for future investment. Rate-of-return methodology provides comfort to investors. This sheet models DisCo P&amp;L, EBITDA, DSCR, equity IRR and payback period.</t>
  </si>
  <si>
    <t>Financial Item</t>
  </si>
  <si>
    <t>t+0
(2026)</t>
  </si>
  <si>
    <t>A.  REVENUE</t>
  </si>
  <si>
    <t>Approved Total Revenue  (₦)  [link from 11_Revenue_Requirement]</t>
  </si>
  <si>
    <t>Collection Efficiency  (%)  [Commission sets trajectory per Section 5.7]</t>
  </si>
  <si>
    <t>Actual Revenue Collected  (₦)  =  R1 × R2</t>
  </si>
  <si>
    <t>B.  COSTS</t>
  </si>
  <si>
    <t>Operating Expenses  (₦)  [from 05_OpEx_OM]</t>
  </si>
  <si>
    <t>Depreciation  (₦)  [from 09_ODRC_Depreciation]</t>
  </si>
  <si>
    <t>Annual Debt Service  (₦)  [interest + principal]</t>
  </si>
  <si>
    <t>Tax Expense  (₦)  [taxable income × Corp tax rate]</t>
  </si>
  <si>
    <t>C5</t>
  </si>
  <si>
    <t>NSERC Regulatory Levy  (₦)</t>
  </si>
  <si>
    <t>C6</t>
  </si>
  <si>
    <t>Pass-Through Costs  (₦)  [Gen + Trans]</t>
  </si>
  <si>
    <t>C.  PROFIT &amp; LOSS</t>
  </si>
  <si>
    <t>Gross Revenue  (₦)</t>
  </si>
  <si>
    <t>Less: Pass-Through Costs  (₦)</t>
  </si>
  <si>
    <t>P3</t>
  </si>
  <si>
    <t>NET DISTRIBUTION REVENUE  (₦)</t>
  </si>
  <si>
    <t>P4</t>
  </si>
  <si>
    <t>Less: OpEx  (₦)</t>
  </si>
  <si>
    <t>P5</t>
  </si>
  <si>
    <t>EBITDA  (₦)</t>
  </si>
  <si>
    <t>P6</t>
  </si>
  <si>
    <t>Less: Depreciation  (₦)</t>
  </si>
  <si>
    <t>P7</t>
  </si>
  <si>
    <t>EBIT  (₦)</t>
  </si>
  <si>
    <t>P8</t>
  </si>
  <si>
    <t>Less: Interest / Debt Service   (₦)</t>
  </si>
  <si>
    <t>P9</t>
  </si>
  <si>
    <t>Less: Tax  (₦)</t>
  </si>
  <si>
    <t>P10</t>
  </si>
  <si>
    <t>NET PROFIT / LOSS  (₦)</t>
  </si>
  <si>
    <t>D.  KEY INVESTOR RATIOS  (Benchmarks for Financiers)</t>
  </si>
  <si>
    <t>IR1</t>
  </si>
  <si>
    <t>EBITDA Margin  (%)</t>
  </si>
  <si>
    <t>IR2</t>
  </si>
  <si>
    <t>Net Profit Margin  (%)</t>
  </si>
  <si>
    <t>IR3</t>
  </si>
  <si>
    <t>Debt Service Coverage Ratio  (DSCR)  =  EBITDA ÷ Debt Service</t>
  </si>
  <si>
    <t>x</t>
  </si>
  <si>
    <t>IR4</t>
  </si>
  <si>
    <t>Return on RAB  (%)  =  EBIT ÷ Avg RAB</t>
  </si>
  <si>
    <t>IR5</t>
  </si>
  <si>
    <t>Payback Period on Equity Investment  (years)</t>
  </si>
  <si>
    <t>IR6</t>
  </si>
  <si>
    <t>Equity Investment  (₦)  [user input]</t>
  </si>
  <si>
    <t>⚑  FINANCIER BENCHMARK: DSCR ≥ 1.30x is typically required for project finance. DSCR &lt; 1.10x signals tariff shortfall risk and may require Commission review.</t>
  </si>
  <si>
    <t>19 — AFFORDABILITY ANALYSIS &amp; CONSUMER PROTECTION  (NSERC/R005 Section 3.3)</t>
  </si>
  <si>
    <t>NSERC/R005 Section 3.3(f): Tariffs shall be fair and avoid undue discrimination. Section 3.3(b): Licensee must recover efficient costs plus fair return. Section 3.3(g): Promote innovative technology and clean fuel sources. This sheet tests affordability against Niger State income benchmarks.</t>
  </si>
  <si>
    <t>A.  NIGER STATE INCOME BENCHMARKS  (Commission-monitored)</t>
  </si>
  <si>
    <t>AI1</t>
  </si>
  <si>
    <t>Niger State GDP per Capita  (₦/year)</t>
  </si>
  <si>
    <t>AI2</t>
  </si>
  <si>
    <t>Average Household Monthly Income  (₦)  (survey-based)</t>
  </si>
  <si>
    <t>AI3</t>
  </si>
  <si>
    <t>Low-Income Household Monthly Income  (₦)  (bottom 40%)</t>
  </si>
  <si>
    <t>AI4</t>
  </si>
  <si>
    <t>Minimum Wage  (₦/month)</t>
  </si>
  <si>
    <t>AI5</t>
  </si>
  <si>
    <t>CPI Escalation Rate</t>
  </si>
  <si>
    <t>B.  RESIDENTIAL CONSUMPTION TIERS  (Lifeline &amp; Standard)</t>
  </si>
  <si>
    <t>AC1</t>
  </si>
  <si>
    <t>Lifeline Consumption  (kWh/month)  [very low-income households]</t>
  </si>
  <si>
    <t>kWh</t>
  </si>
  <si>
    <t>AC2</t>
  </si>
  <si>
    <t>Standard LV Residential Consumption  (kWh/month)</t>
  </si>
  <si>
    <t>AC3</t>
  </si>
  <si>
    <t>HV Commercial / Industrial Consumption  (kWh/month)</t>
  </si>
  <si>
    <t>C.  MONTHLY ELECTRICITY BILL &amp; AFFORDABILITY RATIO</t>
  </si>
  <si>
    <t>AB1</t>
  </si>
  <si>
    <t>LV Tariff  (₦/kWh)  [from 16_LV_HV_Tariff — enter here]</t>
  </si>
  <si>
    <t>AB2</t>
  </si>
  <si>
    <t>Lifeline Monthly Bill  (₦)  =  LV Tariff × Lifeline kWh</t>
  </si>
  <si>
    <t>AB3</t>
  </si>
  <si>
    <t>Standard Residential Monthly Bill  (₦)  =  LV Tariff × 150 kWh</t>
  </si>
  <si>
    <t>D.  AFFORDABILITY RATIOS  (Target: electricity &lt; 5% of household income)</t>
  </si>
  <si>
    <t>International Best Practice:  Electricity spending should not exceed 5% of household monthly income. Above 10% is considered energy poverty. Niger State Commission monitors these thresholds.</t>
  </si>
  <si>
    <t>AR1</t>
  </si>
  <si>
    <t>Lifeline Bill as % of Low-Income Household Income  (target: &lt; 5%)</t>
  </si>
  <si>
    <t>0.0%</t>
  </si>
  <si>
    <t>AR1-S</t>
  </si>
  <si>
    <t xml:space="preserve">  ↳ Status vs &lt; 5%  AFFORDABLE</t>
  </si>
  <si>
    <t>AR2</t>
  </si>
  <si>
    <t>Std Residential Bill as % of Average Household Income  (target: &lt; 5%)</t>
  </si>
  <si>
    <t>AR2-S</t>
  </si>
  <si>
    <t>AR3</t>
  </si>
  <si>
    <t>Lifeline Bill as % of Minimum Wage  (target: &lt; 3%)</t>
  </si>
  <si>
    <t>AR3-S</t>
  </si>
  <si>
    <t xml:space="preserve">  ↳ Status vs &lt; 3%  AFFORDABLE</t>
  </si>
  <si>
    <t>NSERC/R005 Section 3.3(f): Tariff shall be fair and avoid undue discrimination. A Lifeline Tariff for low-income households (≤50 kWh/month) may be set below cost-reflective level with cross-subsidy from commercial / HV customers. Commission approves mechanism.</t>
  </si>
  <si>
    <t>LL1</t>
  </si>
  <si>
    <t>Recommended Lifeline Tariff  (₦/kWh)  [Commission discretion]</t>
  </si>
  <si>
    <t>LL2</t>
  </si>
  <si>
    <t>Lifeline Band  (kWh/month)</t>
  </si>
  <si>
    <t>LL3</t>
  </si>
  <si>
    <t>Lifeline Revenue Shortfall  (₦/year)  [cost-reflective − lifeline]</t>
  </si>
  <si>
    <t>→ calc needed</t>
  </si>
  <si>
    <t>LL4</t>
  </si>
  <si>
    <t>Cross-Subsidy Uplift Required on Other Classes  (₦/kWh)</t>
  </si>
  <si>
    <t>⚑  KEY PRINCIPLE: NSERC/R005 Section 3.3 requires affordability to be balanced with licensee revenue recovery. Cross-subsidies must be transparent and Commission-approved. Efficiency of electricity use by all classes should be incentivised.</t>
  </si>
  <si>
    <t>This is the master output of the tariff determination. Each building block is cross-linked. No manual entry required here — all cells are calculated.</t>
  </si>
  <si>
    <t>02_PassThrough</t>
  </si>
  <si>
    <t>06_RAB_Roll</t>
  </si>
  <si>
    <t>07_ODRC_Depreciation</t>
  </si>
  <si>
    <t>08_Revenue_Requirement</t>
  </si>
  <si>
    <t>Total allowed revenue: R = B×r + E + d + T and Average Tariff</t>
  </si>
  <si>
    <t>← 07_ODRC_Dep</t>
  </si>
  <si>
    <t>← 06_RAB_Roll</t>
  </si>
  <si>
    <t>← 02_PassThrough</t>
  </si>
  <si>
    <t>Net Energy Sold to Customers  (MWh)</t>
  </si>
  <si>
    <t xml:space="preserve">  of which: Distribution (₦/kWh)</t>
  </si>
  <si>
    <t>Retail Tariff = Pass-Through (Generation + Transmission) + DisCo Rate of Recovery. Schedule 4 format per NSERC/R005. Pass-through is identical for all customer classes; the DisCo rate of recovery is a single blended rate applied uniformly.</t>
  </si>
  <si>
    <t>Tariff Component / Class</t>
  </si>
  <si>
    <t>08 — TOTAL ALLOWED REVENUE REQUIREMENT  |  R = B×r + E + d + T  |  NSERC/R005 Section 4</t>
  </si>
  <si>
    <t>07 — OPTIMISED DEPRECIATED REPLACEMENT COST  (ODRC)  DEPRECIATION  —  NSERC/R005 Section 4.2</t>
  </si>
  <si>
    <t>06 — REGULATORY ASSET BASE  (RAB)  ROLL-FORWARD  —  NSERC/R005 Section 4.1</t>
  </si>
  <si>
    <t>02 — GENERATION &amp; TRANSMISSION  |  PASS-THROUGH COSTS ONLY  (NSERC/R005 Section 3.2.1)</t>
  </si>
  <si>
    <t>09 — END-USER AVERAGE TARIFF  (₦/kWh)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</si>
</sst>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0.000%"/>
    <numFmt numFmtId="166" formatCode="\₦#,##0.00"/>
    <numFmt numFmtId="167" formatCode="0.0000"/>
    <numFmt numFmtId="168" formatCode="#,##0;\(#,##0\);\-"/>
    <numFmt numFmtId="169" formatCode="0.0\x"/>
    <numFmt numFmtId="170" formatCode="ddd\,\ d\ mmm\ yyyy"/>
  </numFmts>
  <fonts count="60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4"/>
      <color rgb="FFFFFFFF"/>
      <name val="Calibri"/>
      <family val="2"/>
    </font>
    <font>
      <b/>
      <sz val="18"/>
      <color rgb="FFFFFFFF"/>
      <name val="Calibri"/>
      <family val="2"/>
    </font>
    <font>
      <b/>
      <i/>
      <sz val="10"/>
      <color rgb="FFFFFFFF"/>
      <name val="Calibri"/>
      <family val="2"/>
    </font>
    <font>
      <b/>
      <i/>
      <sz val="9"/>
      <color rgb="FF2B2B2B"/>
      <name val="Calibri"/>
      <family val="2"/>
    </font>
    <font>
      <sz val="10"/>
      <color rgb="FF1A237E"/>
      <name val="Calibri"/>
      <family val="2"/>
    </font>
    <font>
      <sz val="10"/>
      <color rgb="FF2B2B2B"/>
      <name val="Calibri"/>
      <family val="2"/>
    </font>
    <font>
      <b/>
      <sz val="12"/>
      <color rgb="FFFFFFFF"/>
      <name val="Calibri"/>
      <family val="2"/>
    </font>
    <font>
      <b/>
      <sz val="10"/>
      <color rgb="FF1A237E"/>
      <name val="Calibri"/>
      <family val="2"/>
    </font>
    <font>
      <b/>
      <sz val="10"/>
      <color rgb="FF2B2B2B"/>
      <name val="Calibri"/>
      <family val="2"/>
    </font>
    <font>
      <b/>
      <sz val="10"/>
      <color rgb="FF006400"/>
      <name val="Calibri"/>
      <family val="2"/>
    </font>
    <font>
      <b/>
      <sz val="10"/>
      <color rgb="FF4A5568"/>
      <name val="Calibri"/>
      <family val="2"/>
    </font>
    <font>
      <b/>
      <sz val="10"/>
      <color rgb="FFC0392B"/>
      <name val="Calibri"/>
      <family val="2"/>
    </font>
    <font>
      <b/>
      <sz val="9"/>
      <color rgb="FF2B2B2B"/>
      <name val="Calibri"/>
      <family val="2"/>
    </font>
    <font>
      <b/>
      <sz val="9"/>
      <color rgb="FFFFFFFF"/>
      <name val="Calibri"/>
      <family val="2"/>
    </font>
    <font>
      <b/>
      <sz val="13"/>
      <color rgb="FFFFFFFF"/>
      <name val="Calibri"/>
      <family val="2"/>
    </font>
    <font>
      <b/>
      <i/>
      <sz val="9"/>
      <color rgb="FFFFFFFF"/>
      <name val="Calibri"/>
      <family val="2"/>
    </font>
    <font>
      <b/>
      <sz val="11"/>
      <color rgb="FFFFFFFF"/>
      <name val="Calibri"/>
      <family val="2"/>
    </font>
    <font>
      <i/>
      <sz val="10"/>
      <color rgb="FF006400"/>
      <name val="Calibri"/>
      <family val="2"/>
    </font>
    <font>
      <i/>
      <sz val="10"/>
      <color rgb="FF4A5568"/>
      <name val="Calibri"/>
      <family val="2"/>
    </font>
    <font>
      <b/>
      <i/>
      <sz val="10"/>
      <color rgb="FF2B2B2B"/>
      <name val="Calibri"/>
      <family val="2"/>
    </font>
    <font>
      <sz val="10"/>
      <color rgb="FF4A5568"/>
      <name val="Calibri"/>
      <family val="2"/>
    </font>
    <font>
      <b/>
      <i/>
      <sz val="8"/>
      <color rgb="FF4A5568"/>
      <name val="Calibri"/>
      <family val="2"/>
    </font>
    <font>
      <sz val="10"/>
      <color rgb="FF006400"/>
      <name val="Calibri"/>
      <family val="2"/>
    </font>
    <font>
      <sz val="10"/>
      <color rgb="FFC0392B"/>
      <name val="Calibri"/>
      <family val="2"/>
    </font>
    <font>
      <b/>
      <sz val="12"/>
      <color rgb="FF2B2B2B"/>
      <name val="Calibri"/>
      <family val="2"/>
    </font>
    <font>
      <i/>
      <sz val="8"/>
      <color rgb="FF4A5568"/>
      <name val="Calibri"/>
      <family val="2"/>
    </font>
    <font>
      <sz val="10"/>
      <color rgb="FFC8A217"/>
      <name val="Calibri"/>
      <family val="2"/>
    </font>
    <font>
      <b/>
      <sz val="11"/>
      <color rgb="FF2B2B2B"/>
      <name val="Calibri"/>
      <family val="2"/>
    </font>
    <font>
      <b/>
      <sz val="10"/>
      <color rgb="FFC8A217"/>
      <name val="Calibri"/>
      <family val="2"/>
    </font>
    <font>
      <sz val="10"/>
      <color rgb="FF1A7A1A"/>
      <name val="Calibri"/>
      <family val="2"/>
    </font>
    <font>
      <i/>
      <sz val="10"/>
      <color rgb="FFFFFFFF"/>
      <name val="Calibri"/>
      <family val="2"/>
    </font>
    <font>
      <sz val="9"/>
      <color rgb="FF006400"/>
      <name val="Calibri"/>
      <family val="2"/>
    </font>
    <font>
      <b/>
      <sz val="11"/>
      <color rgb="FFFFFFFF"/>
      <name val="Calibri"/>
      <family val="2"/>
    </font>
    <font>
      <sz val="10"/>
      <color rgb="FF1A7A1A"/>
      <name val="Calibri"/>
      <family val="2"/>
    </font>
    <font>
      <sz val="10"/>
      <color rgb="FF4A5568"/>
      <name val="Calibri"/>
      <family val="2"/>
    </font>
    <font>
      <sz val="10"/>
      <color rgb="FF006400"/>
      <name val="Calibri"/>
      <family val="2"/>
    </font>
    <font>
      <u/>
      <sz val="11"/>
      <color theme="1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Aptos"/>
      <family val="2"/>
    </font>
    <font>
      <sz val="10"/>
      <color rgb="FF1A237E"/>
      <name val="Aptos"/>
      <family val="2"/>
    </font>
    <font>
      <sz val="10"/>
      <name val="Aptos"/>
      <family val="2"/>
    </font>
    <font>
      <b/>
      <sz val="10"/>
      <color rgb="FF0070C0"/>
      <name val="Calibri"/>
      <family val="2"/>
    </font>
    <font>
      <i/>
      <sz val="10"/>
      <color rgb="FF0070C0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70C0"/>
      <name val="Calibri"/>
      <family val="2"/>
    </font>
    <font>
      <sz val="10"/>
      <color rgb="FF1A7A1A"/>
      <name val="Calibri"/>
    </font>
    <font>
      <b/>
      <sz val="10"/>
      <color rgb="FFFFFFFF"/>
      <name val="Calibri"/>
    </font>
    <font>
      <b/>
      <sz val="10"/>
      <color rgb="FF1A7A1A"/>
      <name val="Calibri"/>
    </font>
    <font>
      <sz val="10"/>
      <color rgb="FF1A7A1A"/>
      <name val="Calibri"/>
    </font>
    <font>
      <b/>
      <sz val="11"/>
      <color rgb="FFFFFFFF"/>
      <name val="Calibri"/>
    </font>
    <font>
      <sz val="10"/>
      <color rgb="FF4A5568"/>
      <name val="Calibri"/>
    </font>
    <font>
      <b/>
      <sz val="12"/>
      <color rgb="FFFFFFFF"/>
      <name val="Calibri"/>
    </font>
    <font>
      <b/>
      <sz val="10"/>
      <color rgb="FFC8A217"/>
      <name val="Calibri"/>
    </font>
    <font>
      <b/>
      <sz val="13"/>
      <color rgb="FFC8A217"/>
      <name val="Calibri"/>
    </font>
  </fonts>
  <fills count="25">
    <fill>
      <patternFill patternType="none"/>
    </fill>
    <fill>
      <patternFill patternType="gray125"/>
    </fill>
    <fill>
      <patternFill patternType="solid">
        <fgColor rgb="FF006400"/>
      </patternFill>
    </fill>
    <fill>
      <patternFill patternType="solid">
        <fgColor rgb="FF1A7A1A"/>
      </patternFill>
    </fill>
    <fill>
      <patternFill patternType="solid">
        <fgColor rgb="FF2B2B2B"/>
      </patternFill>
    </fill>
    <fill>
      <patternFill patternType="solid">
        <fgColor rgb="FFC8A217"/>
      </patternFill>
    </fill>
    <fill>
      <patternFill patternType="solid">
        <fgColor rgb="FFFFF8DC"/>
      </patternFill>
    </fill>
    <fill>
      <patternFill patternType="solid">
        <fgColor rgb="FFD4EDDA"/>
      </patternFill>
    </fill>
    <fill>
      <patternFill patternType="solid">
        <fgColor rgb="FFFFFFFF"/>
      </patternFill>
    </fill>
    <fill>
      <patternFill patternType="solid">
        <fgColor rgb="FFFDECEA"/>
      </patternFill>
    </fill>
    <fill>
      <patternFill patternType="solid">
        <fgColor rgb="FFEAF4FF"/>
      </patternFill>
    </fill>
    <fill>
      <patternFill patternType="solid">
        <fgColor rgb="FFF7FAF7"/>
      </patternFill>
    </fill>
    <fill>
      <patternFill patternType="solid">
        <fgColor rgb="FF1A3A5C"/>
      </patternFill>
    </fill>
    <fill>
      <patternFill patternType="solid">
        <fgColor rgb="FF2E6DA4"/>
      </patternFill>
    </fill>
    <fill>
      <patternFill patternType="solid">
        <fgColor rgb="FF006400"/>
      </patternFill>
    </fill>
    <fill>
      <patternFill patternType="solid">
        <fgColor rgb="FFD4EDDA"/>
      </patternFill>
    </fill>
    <fill>
      <patternFill patternType="solid">
        <fgColor rgb="FF1A7A1A"/>
        <bgColor indexed="64"/>
      </patternFill>
    </fill>
    <fill>
      <patternFill patternType="solid">
        <fgColor rgb="FFD4ED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400"/>
      </patternFill>
    </fill>
    <fill>
      <patternFill patternType="solid">
        <fgColor rgb="FFFFFFFF"/>
      </patternFill>
    </fill>
    <fill>
      <patternFill patternType="solid">
        <fgColor rgb="FFD4EDDA"/>
      </patternFill>
    </fill>
    <fill>
      <patternFill patternType="solid">
        <fgColor rgb="FF2B2B2B"/>
      </patternFill>
    </fill>
    <fill>
      <patternFill patternType="solid">
        <fgColor rgb="FF1A3A5C"/>
      </patternFill>
    </fill>
    <fill>
      <patternFill patternType="solid">
        <fgColor rgb="FF2E6DA4"/>
      </patternFill>
    </fill>
  </fills>
  <borders count="4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FF006400"/>
      </left>
      <right style="medium">
        <color rgb="FF006400"/>
      </right>
      <top style="medium">
        <color rgb="FF006400"/>
      </top>
      <bottom style="medium">
        <color rgb="FF006400"/>
      </bottom>
      <diagonal/>
    </border>
    <border>
      <left style="medium">
        <color rgb="FFC8A217"/>
      </left>
      <right style="medium">
        <color rgb="FFC8A217"/>
      </right>
      <top style="medium">
        <color rgb="FFC8A217"/>
      </top>
      <bottom style="medium">
        <color rgb="FFC8A217"/>
      </bottom>
      <diagonal/>
    </border>
    <border>
      <left/>
      <right style="medium">
        <color rgb="FF006400"/>
      </right>
      <top/>
      <bottom/>
      <diagonal/>
    </border>
    <border>
      <left style="thin">
        <color rgb="FF999999"/>
      </left>
      <right style="medium">
        <color rgb="FF006400"/>
      </right>
      <top/>
      <bottom/>
      <diagonal/>
    </border>
    <border>
      <left style="medium">
        <color rgb="FF006400"/>
      </left>
      <right style="medium">
        <color rgb="FF006400"/>
      </right>
      <top style="medium">
        <color rgb="FF006400"/>
      </top>
      <bottom style="medium">
        <color rgb="FF0064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006400"/>
      </left>
      <right style="medium">
        <color rgb="FF006400"/>
      </right>
      <top style="medium">
        <color rgb="FF006400"/>
      </top>
      <bottom style="medium">
        <color rgb="FF006400"/>
      </bottom>
      <diagonal/>
    </border>
    <border>
      <left style="medium">
        <color rgb="FF1A3A5C"/>
      </left>
      <right style="medium">
        <color rgb="FF1A3A5C"/>
      </right>
      <top style="medium">
        <color rgb="FF1A3A5C"/>
      </top>
      <bottom style="medium">
        <color rgb="FF1A3A5C"/>
      </bottom>
      <diagonal/>
    </border>
    <border>
      <left/>
      <right/>
      <top style="medium">
        <color rgb="FF1A3A5C"/>
      </top>
      <bottom style="medium">
        <color rgb="FF1A3A5C"/>
      </bottom>
      <diagonal/>
    </border>
    <border>
      <left/>
      <right style="medium">
        <color rgb="FF1A3A5C"/>
      </right>
      <top style="medium">
        <color rgb="FF1A3A5C"/>
      </top>
      <bottom style="medium">
        <color rgb="FF1A3A5C"/>
      </bottom>
      <diagonal/>
    </border>
    <border>
      <left style="medium">
        <color rgb="FF2E6DA4"/>
      </left>
      <right style="medium">
        <color rgb="FF2E6DA4"/>
      </right>
      <top style="medium">
        <color rgb="FF2E6DA4"/>
      </top>
      <bottom style="medium">
        <color rgb="FF2E6DA4"/>
      </bottom>
      <diagonal/>
    </border>
    <border>
      <left/>
      <right/>
      <top style="medium">
        <color rgb="FF2E6DA4"/>
      </top>
      <bottom style="medium">
        <color rgb="FF2E6DA4"/>
      </bottom>
      <diagonal/>
    </border>
    <border>
      <left/>
      <right style="medium">
        <color rgb="FF2E6DA4"/>
      </right>
      <top style="medium">
        <color rgb="FF2E6DA4"/>
      </top>
      <bottom style="medium">
        <color rgb="FF2E6DA4"/>
      </bottom>
      <diagonal/>
    </border>
    <border>
      <left style="medium">
        <color rgb="FFC8A217"/>
      </left>
      <right style="medium">
        <color rgb="FFC8A217"/>
      </right>
      <top style="medium">
        <color rgb="FFC8A217"/>
      </top>
      <bottom style="medium">
        <color rgb="FFC8A217"/>
      </bottom>
      <diagonal/>
    </border>
    <border>
      <left/>
      <right/>
      <top style="medium">
        <color rgb="FFC8A217"/>
      </top>
      <bottom style="medium">
        <color rgb="FFC8A217"/>
      </bottom>
      <diagonal/>
    </border>
    <border>
      <left/>
      <right style="medium">
        <color rgb="FFC8A217"/>
      </right>
      <top style="medium">
        <color rgb="FFC8A217"/>
      </top>
      <bottom style="medium">
        <color rgb="FFC8A217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/>
      <bottom/>
      <diagonal/>
    </border>
    <border>
      <left style="medium">
        <color rgb="FF006400"/>
      </left>
      <right style="thin">
        <color indexed="64"/>
      </right>
      <top style="medium">
        <color rgb="FF006400"/>
      </top>
      <bottom style="medium">
        <color rgb="FF0064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">
    <xf numFmtId="0" fontId="0" fillId="0" borderId="0"/>
    <xf numFmtId="0" fontId="38" fillId="0" borderId="0"/>
  </cellStyleXfs>
  <cellXfs count="187">
    <xf numFmtId="0" fontId="0" fillId="0" borderId="0" xfId="0"/>
    <xf numFmtId="0" fontId="7" fillId="7" borderId="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10" fillId="8" borderId="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/>
    </xf>
    <xf numFmtId="0" fontId="19" fillId="7" borderId="4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23" fillId="7" borderId="1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left" vertical="center"/>
    </xf>
    <xf numFmtId="0" fontId="20" fillId="10" borderId="4" xfId="0" applyFont="1" applyFill="1" applyBorder="1" applyAlignment="1">
      <alignment horizontal="left" vertical="center"/>
    </xf>
    <xf numFmtId="164" fontId="6" fillId="6" borderId="7" xfId="0" applyNumberFormat="1" applyFont="1" applyFill="1" applyBorder="1" applyAlignment="1">
      <alignment horizontal="right" vertical="center"/>
    </xf>
    <xf numFmtId="0" fontId="20" fillId="7" borderId="4" xfId="0" applyFont="1" applyFill="1" applyBorder="1" applyAlignment="1">
      <alignment horizontal="left" vertical="center"/>
    </xf>
    <xf numFmtId="164" fontId="24" fillId="7" borderId="4" xfId="0" applyNumberFormat="1" applyFont="1" applyFill="1" applyBorder="1" applyAlignment="1">
      <alignment horizontal="right" vertical="center"/>
    </xf>
    <xf numFmtId="3" fontId="6" fillId="6" borderId="7" xfId="0" applyNumberFormat="1" applyFont="1" applyFill="1" applyBorder="1" applyAlignment="1">
      <alignment horizontal="right" vertical="center"/>
    </xf>
    <xf numFmtId="3" fontId="24" fillId="7" borderId="4" xfId="0" applyNumberFormat="1" applyFont="1" applyFill="1" applyBorder="1" applyAlignment="1">
      <alignment horizontal="right" vertical="center"/>
    </xf>
    <xf numFmtId="165" fontId="6" fillId="6" borderId="7" xfId="0" applyNumberFormat="1" applyFont="1" applyFill="1" applyBorder="1" applyAlignment="1">
      <alignment horizontal="right" vertical="center"/>
    </xf>
    <xf numFmtId="0" fontId="20" fillId="8" borderId="4" xfId="0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right" vertical="center"/>
    </xf>
    <xf numFmtId="164" fontId="22" fillId="11" borderId="4" xfId="0" applyNumberFormat="1" applyFont="1" applyFill="1" applyBorder="1" applyAlignment="1">
      <alignment horizontal="right" vertical="center"/>
    </xf>
    <xf numFmtId="3" fontId="1" fillId="3" borderId="4" xfId="0" applyNumberFormat="1" applyFont="1" applyFill="1" applyBorder="1" applyAlignment="1">
      <alignment horizontal="right" vertical="center"/>
    </xf>
    <xf numFmtId="3" fontId="26" fillId="5" borderId="8" xfId="0" applyNumberFormat="1" applyFont="1" applyFill="1" applyBorder="1" applyAlignment="1">
      <alignment horizontal="right" vertical="center"/>
    </xf>
    <xf numFmtId="0" fontId="27" fillId="0" borderId="0" xfId="0" applyFont="1"/>
    <xf numFmtId="3" fontId="25" fillId="9" borderId="4" xfId="0" applyNumberFormat="1" applyFont="1" applyFill="1" applyBorder="1" applyAlignment="1">
      <alignment horizontal="right" vertical="center"/>
    </xf>
    <xf numFmtId="3" fontId="22" fillId="8" borderId="4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3" fontId="18" fillId="2" borderId="8" xfId="0" applyNumberFormat="1" applyFont="1" applyFill="1" applyBorder="1" applyAlignment="1">
      <alignment horizontal="right" vertical="center"/>
    </xf>
    <xf numFmtId="166" fontId="6" fillId="6" borderId="7" xfId="0" applyNumberFormat="1" applyFont="1" applyFill="1" applyBorder="1" applyAlignment="1">
      <alignment horizontal="right" vertical="center"/>
    </xf>
    <xf numFmtId="3" fontId="29" fillId="5" borderId="9" xfId="0" applyNumberFormat="1" applyFont="1" applyFill="1" applyBorder="1" applyAlignment="1">
      <alignment horizontal="right" vertical="center"/>
    </xf>
    <xf numFmtId="3" fontId="7" fillId="11" borderId="4" xfId="0" applyNumberFormat="1" applyFont="1" applyFill="1" applyBorder="1" applyAlignment="1">
      <alignment horizontal="right" vertical="center"/>
    </xf>
    <xf numFmtId="3" fontId="22" fillId="11" borderId="4" xfId="0" applyNumberFormat="1" applyFont="1" applyFill="1" applyBorder="1" applyAlignment="1">
      <alignment horizontal="right" vertical="center"/>
    </xf>
    <xf numFmtId="0" fontId="10" fillId="8" borderId="4" xfId="0" applyFont="1" applyFill="1" applyBorder="1" applyAlignment="1">
      <alignment horizontal="left" vertical="center"/>
    </xf>
    <xf numFmtId="3" fontId="28" fillId="6" borderId="4" xfId="0" applyNumberFormat="1" applyFont="1" applyFill="1" applyBorder="1" applyAlignment="1">
      <alignment horizontal="right" vertical="center"/>
    </xf>
    <xf numFmtId="0" fontId="9" fillId="7" borderId="4" xfId="0" applyFont="1" applyFill="1" applyBorder="1" applyAlignment="1">
      <alignment horizontal="center" vertical="center"/>
    </xf>
    <xf numFmtId="3" fontId="6" fillId="10" borderId="4" xfId="0" applyNumberFormat="1" applyFont="1" applyFill="1" applyBorder="1" applyAlignment="1">
      <alignment horizontal="right" vertical="center"/>
    </xf>
    <xf numFmtId="3" fontId="16" fillId="2" borderId="8" xfId="0" applyNumberFormat="1" applyFont="1" applyFill="1" applyBorder="1" applyAlignment="1">
      <alignment horizontal="right" vertical="center"/>
    </xf>
    <xf numFmtId="0" fontId="15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167" fontId="24" fillId="7" borderId="4" xfId="0" applyNumberFormat="1" applyFont="1" applyFill="1" applyBorder="1" applyAlignment="1">
      <alignment horizontal="right" vertical="center"/>
    </xf>
    <xf numFmtId="166" fontId="18" fillId="3" borderId="4" xfId="0" applyNumberFormat="1" applyFont="1" applyFill="1" applyBorder="1" applyAlignment="1">
      <alignment horizontal="right" vertical="center"/>
    </xf>
    <xf numFmtId="0" fontId="30" fillId="8" borderId="4" xfId="0" applyFont="1" applyFill="1" applyBorder="1" applyAlignment="1">
      <alignment horizontal="left" vertical="center"/>
    </xf>
    <xf numFmtId="166" fontId="26" fillId="5" borderId="9" xfId="0" applyNumberFormat="1" applyFont="1" applyFill="1" applyBorder="1" applyAlignment="1">
      <alignment horizontal="right" vertical="center"/>
    </xf>
    <xf numFmtId="166" fontId="31" fillId="7" borderId="4" xfId="0" applyNumberFormat="1" applyFont="1" applyFill="1" applyBorder="1" applyAlignment="1">
      <alignment horizontal="right" vertical="center"/>
    </xf>
    <xf numFmtId="0" fontId="24" fillId="7" borderId="4" xfId="0" applyFont="1" applyFill="1" applyBorder="1" applyAlignment="1">
      <alignment horizontal="center" vertical="center"/>
    </xf>
    <xf numFmtId="168" fontId="24" fillId="7" borderId="4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32" fillId="3" borderId="4" xfId="0" applyFont="1" applyFill="1" applyBorder="1" applyAlignment="1">
      <alignment horizontal="left" vertical="center"/>
    </xf>
    <xf numFmtId="168" fontId="1" fillId="3" borderId="4" xfId="0" applyNumberFormat="1" applyFont="1" applyFill="1" applyBorder="1" applyAlignment="1">
      <alignment horizontal="right" vertical="center"/>
    </xf>
    <xf numFmtId="164" fontId="7" fillId="7" borderId="4" xfId="0" applyNumberFormat="1" applyFont="1" applyFill="1" applyBorder="1" applyAlignment="1">
      <alignment horizontal="right" vertical="center"/>
    </xf>
    <xf numFmtId="169" fontId="29" fillId="6" borderId="4" xfId="0" applyNumberFormat="1" applyFont="1" applyFill="1" applyBorder="1" applyAlignment="1">
      <alignment horizontal="right" vertical="center"/>
    </xf>
    <xf numFmtId="164" fontId="7" fillId="11" borderId="4" xfId="0" applyNumberFormat="1" applyFont="1" applyFill="1" applyBorder="1" applyAlignment="1">
      <alignment horizontal="right" vertical="center"/>
    </xf>
    <xf numFmtId="0" fontId="20" fillId="8" borderId="4" xfId="0" applyFont="1" applyFill="1" applyBorder="1" applyAlignment="1">
      <alignment horizontal="left" vertical="center" indent="2"/>
    </xf>
    <xf numFmtId="0" fontId="33" fillId="7" borderId="4" xfId="0" applyFont="1" applyFill="1" applyBorder="1" applyAlignment="1">
      <alignment horizontal="left" vertical="center"/>
    </xf>
    <xf numFmtId="0" fontId="0" fillId="7" borderId="0" xfId="0" applyFill="1"/>
    <xf numFmtId="3" fontId="35" fillId="15" borderId="13" xfId="0" applyNumberFormat="1" applyFont="1" applyFill="1" applyBorder="1" applyAlignment="1">
      <alignment horizontal="right" vertical="center"/>
    </xf>
    <xf numFmtId="3" fontId="34" fillId="14" borderId="12" xfId="0" applyNumberFormat="1" applyFont="1" applyFill="1" applyBorder="1" applyAlignment="1">
      <alignment horizontal="right" vertical="center"/>
    </xf>
    <xf numFmtId="3" fontId="36" fillId="15" borderId="13" xfId="0" applyNumberFormat="1" applyFont="1" applyFill="1" applyBorder="1" applyAlignment="1">
      <alignment horizontal="right" vertical="center"/>
    </xf>
    <xf numFmtId="3" fontId="37" fillId="15" borderId="13" xfId="0" applyNumberFormat="1" applyFont="1" applyFill="1" applyBorder="1" applyAlignment="1">
      <alignment horizontal="right" vertical="center"/>
    </xf>
    <xf numFmtId="166" fontId="37" fillId="15" borderId="13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Continuous" vertical="center"/>
    </xf>
    <xf numFmtId="0" fontId="0" fillId="16" borderId="3" xfId="0" applyFill="1" applyBorder="1" applyAlignment="1">
      <alignment horizontal="centerContinuous"/>
    </xf>
    <xf numFmtId="0" fontId="1" fillId="16" borderId="1" xfId="0" applyFont="1" applyFill="1" applyBorder="1" applyAlignment="1">
      <alignment horizontal="centerContinuous" vertical="center"/>
    </xf>
    <xf numFmtId="0" fontId="39" fillId="2" borderId="0" xfId="1" applyFont="1" applyFill="1" applyAlignment="1">
      <alignment horizontal="left" vertical="center"/>
    </xf>
    <xf numFmtId="0" fontId="22" fillId="17" borderId="14" xfId="0" applyFont="1" applyFill="1" applyBorder="1" applyAlignment="1">
      <alignment vertical="center"/>
    </xf>
    <xf numFmtId="0" fontId="22" fillId="17" borderId="0" xfId="0" applyFont="1" applyFill="1" applyAlignment="1">
      <alignment vertical="center"/>
    </xf>
    <xf numFmtId="0" fontId="0" fillId="17" borderId="0" xfId="0" applyFill="1"/>
    <xf numFmtId="0" fontId="45" fillId="6" borderId="4" xfId="0" applyFont="1" applyFill="1" applyBorder="1" applyAlignment="1">
      <alignment horizontal="center" vertical="center"/>
    </xf>
    <xf numFmtId="0" fontId="40" fillId="18" borderId="13" xfId="0" applyFont="1" applyFill="1" applyBorder="1" applyAlignment="1">
      <alignment horizontal="center" vertical="center"/>
    </xf>
    <xf numFmtId="0" fontId="45" fillId="6" borderId="4" xfId="0" applyFont="1" applyFill="1" applyBorder="1" applyAlignment="1">
      <alignment horizontal="left" vertical="center"/>
    </xf>
    <xf numFmtId="0" fontId="46" fillId="6" borderId="4" xfId="0" applyFont="1" applyFill="1" applyBorder="1" applyAlignment="1">
      <alignment horizontal="left" vertical="center"/>
    </xf>
    <xf numFmtId="0" fontId="9" fillId="18" borderId="4" xfId="0" applyFont="1" applyFill="1" applyBorder="1" applyAlignment="1">
      <alignment horizontal="left" vertical="center"/>
    </xf>
    <xf numFmtId="0" fontId="46" fillId="18" borderId="4" xfId="0" applyFont="1" applyFill="1" applyBorder="1" applyAlignment="1">
      <alignment horizontal="left" vertical="center"/>
    </xf>
    <xf numFmtId="0" fontId="47" fillId="0" borderId="4" xfId="0" applyFont="1" applyBorder="1" applyAlignment="1">
      <alignment horizontal="left" vertical="center"/>
    </xf>
    <xf numFmtId="164" fontId="41" fillId="0" borderId="4" xfId="0" applyNumberFormat="1" applyFont="1" applyBorder="1" applyAlignment="1">
      <alignment horizontal="right" vertical="center"/>
    </xf>
    <xf numFmtId="0" fontId="47" fillId="18" borderId="4" xfId="0" applyFont="1" applyFill="1" applyBorder="1" applyAlignment="1">
      <alignment horizontal="left" vertical="center"/>
    </xf>
    <xf numFmtId="0" fontId="47" fillId="18" borderId="0" xfId="0" applyFont="1" applyFill="1" applyAlignment="1">
      <alignment horizontal="left" vertical="center"/>
    </xf>
    <xf numFmtId="164" fontId="41" fillId="18" borderId="7" xfId="0" applyNumberFormat="1" applyFont="1" applyFill="1" applyBorder="1" applyAlignment="1">
      <alignment horizontal="right" vertical="center"/>
    </xf>
    <xf numFmtId="2" fontId="41" fillId="18" borderId="7" xfId="0" applyNumberFormat="1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 vertical="center"/>
    </xf>
    <xf numFmtId="164" fontId="49" fillId="0" borderId="4" xfId="0" applyNumberFormat="1" applyFont="1" applyBorder="1" applyAlignment="1">
      <alignment horizontal="right" vertical="center"/>
    </xf>
    <xf numFmtId="0" fontId="48" fillId="18" borderId="4" xfId="0" applyFont="1" applyFill="1" applyBorder="1" applyAlignment="1">
      <alignment horizontal="left" vertical="center"/>
    </xf>
    <xf numFmtId="0" fontId="48" fillId="18" borderId="0" xfId="0" applyFont="1" applyFill="1" applyAlignment="1">
      <alignment horizontal="left" vertical="center"/>
    </xf>
    <xf numFmtId="164" fontId="49" fillId="18" borderId="7" xfId="0" applyNumberFormat="1" applyFont="1" applyFill="1" applyBorder="1" applyAlignment="1">
      <alignment horizontal="right" vertical="center"/>
    </xf>
    <xf numFmtId="3" fontId="49" fillId="18" borderId="7" xfId="0" applyNumberFormat="1" applyFont="1" applyFill="1" applyBorder="1" applyAlignment="1">
      <alignment horizontal="right" vertical="center"/>
    </xf>
    <xf numFmtId="3" fontId="49" fillId="0" borderId="4" xfId="0" applyNumberFormat="1" applyFont="1" applyBorder="1" applyAlignment="1">
      <alignment horizontal="right" vertical="center"/>
    </xf>
    <xf numFmtId="0" fontId="20" fillId="8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right" vertical="center"/>
    </xf>
    <xf numFmtId="3" fontId="41" fillId="0" borderId="4" xfId="0" applyNumberFormat="1" applyFont="1" applyBorder="1" applyAlignment="1">
      <alignment horizontal="right" vertical="center"/>
    </xf>
    <xf numFmtId="3" fontId="50" fillId="6" borderId="7" xfId="0" applyNumberFormat="1" applyFont="1" applyFill="1" applyBorder="1" applyAlignment="1">
      <alignment horizontal="right" vertical="center"/>
    </xf>
    <xf numFmtId="3" fontId="49" fillId="8" borderId="4" xfId="0" applyNumberFormat="1" applyFont="1" applyFill="1" applyBorder="1" applyAlignment="1">
      <alignment horizontal="right" vertical="center"/>
    </xf>
    <xf numFmtId="3" fontId="49" fillId="0" borderId="13" xfId="0" applyNumberFormat="1" applyFont="1" applyBorder="1" applyAlignment="1">
      <alignment horizontal="right" vertical="center"/>
    </xf>
    <xf numFmtId="49" fontId="50" fillId="6" borderId="7" xfId="0" applyNumberFormat="1" applyFont="1" applyFill="1" applyBorder="1" applyAlignment="1">
      <alignment horizontal="right" vertical="center"/>
    </xf>
    <xf numFmtId="166" fontId="41" fillId="18" borderId="7" xfId="0" applyNumberFormat="1" applyFont="1" applyFill="1" applyBorder="1" applyAlignment="1">
      <alignment horizontal="right" vertical="center"/>
    </xf>
    <xf numFmtId="3" fontId="41" fillId="0" borderId="13" xfId="0" applyNumberFormat="1" applyFont="1" applyBorder="1" applyAlignment="1">
      <alignment horizontal="right" vertical="center"/>
    </xf>
    <xf numFmtId="0" fontId="12" fillId="7" borderId="1" xfId="0" applyFont="1" applyFill="1" applyBorder="1" applyAlignment="1">
      <alignment vertical="center"/>
    </xf>
    <xf numFmtId="3" fontId="51" fillId="15" borderId="13" xfId="0" applyNumberFormat="1" applyFont="1" applyFill="1" applyBorder="1" applyAlignment="1">
      <alignment horizontal="right" vertical="center"/>
    </xf>
    <xf numFmtId="3" fontId="54" fillId="21" borderId="16" xfId="0" applyNumberFormat="1" applyFont="1" applyFill="1" applyBorder="1" applyAlignment="1">
      <alignment horizontal="right" vertical="center"/>
    </xf>
    <xf numFmtId="166" fontId="55" fillId="19" borderId="17" xfId="0" applyNumberFormat="1" applyFont="1" applyFill="1" applyBorder="1" applyAlignment="1">
      <alignment horizontal="right" vertical="center"/>
    </xf>
    <xf numFmtId="166" fontId="56" fillId="20" borderId="16" xfId="0" applyNumberFormat="1" applyFont="1" applyFill="1" applyBorder="1" applyAlignment="1">
      <alignment horizontal="right" vertical="center"/>
    </xf>
    <xf numFmtId="0" fontId="39" fillId="19" borderId="0" xfId="1" applyFont="1" applyFill="1" applyAlignment="1">
      <alignment horizontal="left" vertical="center"/>
    </xf>
    <xf numFmtId="0" fontId="15" fillId="22" borderId="1" xfId="0" applyFont="1" applyFill="1" applyBorder="1" applyAlignment="1">
      <alignment horizontal="center" vertical="center" wrapText="1"/>
    </xf>
    <xf numFmtId="0" fontId="8" fillId="19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5" fillId="5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left" vertical="center"/>
    </xf>
    <xf numFmtId="0" fontId="0" fillId="0" borderId="0" xfId="0"/>
    <xf numFmtId="0" fontId="7" fillId="0" borderId="13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42" fillId="2" borderId="1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left" vertical="center"/>
    </xf>
    <xf numFmtId="0" fontId="44" fillId="18" borderId="13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0" fontId="44" fillId="18" borderId="13" xfId="0" applyNumberFormat="1" applyFont="1" applyFill="1" applyBorder="1" applyAlignment="1">
      <alignment horizontal="left"/>
    </xf>
    <xf numFmtId="0" fontId="1" fillId="16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left" vertical="center"/>
    </xf>
    <xf numFmtId="0" fontId="43" fillId="6" borderId="13" xfId="0" applyFont="1" applyFill="1" applyBorder="1"/>
    <xf numFmtId="0" fontId="14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left" vertical="center" wrapText="1" indent="1"/>
    </xf>
    <xf numFmtId="0" fontId="7" fillId="11" borderId="13" xfId="0" applyFont="1" applyFill="1" applyBorder="1" applyAlignment="1">
      <alignment horizontal="left" vertical="center" wrapText="1"/>
    </xf>
    <xf numFmtId="0" fontId="22" fillId="7" borderId="1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2" fillId="9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/>
    </xf>
    <xf numFmtId="0" fontId="0" fillId="0" borderId="10" xfId="0" applyBorder="1"/>
    <xf numFmtId="0" fontId="18" fillId="2" borderId="1" xfId="0" applyFont="1" applyFill="1" applyBorder="1" applyAlignment="1">
      <alignment horizontal="center" vertical="center"/>
    </xf>
    <xf numFmtId="166" fontId="59" fillId="22" borderId="24" xfId="0" applyNumberFormat="1" applyFont="1" applyFill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52" fillId="24" borderId="0" xfId="0" applyFont="1" applyFill="1" applyAlignment="1">
      <alignment horizontal="left" vertical="center"/>
    </xf>
    <xf numFmtId="0" fontId="58" fillId="22" borderId="0" xfId="0" applyFont="1" applyFill="1" applyAlignment="1">
      <alignment horizontal="left" vertical="center"/>
    </xf>
    <xf numFmtId="166" fontId="57" fillId="24" borderId="21" xfId="0" applyNumberFormat="1" applyFont="1" applyFill="1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52" fillId="22" borderId="0" xfId="0" applyFont="1" applyFill="1" applyAlignment="1">
      <alignment horizontal="left" vertical="center"/>
    </xf>
    <xf numFmtId="0" fontId="52" fillId="23" borderId="0" xfId="0" applyFont="1" applyFill="1" applyAlignment="1">
      <alignment horizontal="left" vertical="center"/>
    </xf>
    <xf numFmtId="166" fontId="57" fillId="23" borderId="18" xfId="0" applyNumberFormat="1" applyFont="1" applyFill="1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7" fillId="8" borderId="13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/>
    </xf>
    <xf numFmtId="0" fontId="0" fillId="21" borderId="27" xfId="0" applyFill="1" applyBorder="1"/>
    <xf numFmtId="0" fontId="23" fillId="21" borderId="28" xfId="0" applyFont="1" applyFill="1" applyBorder="1" applyAlignment="1">
      <alignment horizontal="center" vertical="center"/>
    </xf>
    <xf numFmtId="0" fontId="52" fillId="19" borderId="29" xfId="0" applyFont="1" applyFill="1" applyBorder="1" applyAlignment="1">
      <alignment horizontal="left" vertical="center"/>
    </xf>
    <xf numFmtId="0" fontId="0" fillId="0" borderId="30" xfId="0" applyBorder="1"/>
    <xf numFmtId="0" fontId="0" fillId="0" borderId="31" xfId="0" applyBorder="1"/>
    <xf numFmtId="0" fontId="0" fillId="7" borderId="32" xfId="0" applyFill="1" applyBorder="1"/>
    <xf numFmtId="0" fontId="0" fillId="7" borderId="16" xfId="0" applyFill="1" applyBorder="1"/>
    <xf numFmtId="3" fontId="54" fillId="21" borderId="33" xfId="0" applyNumberFormat="1" applyFont="1" applyFill="1" applyBorder="1" applyAlignment="1">
      <alignment horizontal="right" vertical="center"/>
    </xf>
    <xf numFmtId="0" fontId="53" fillId="20" borderId="34" xfId="0" applyFont="1" applyFill="1" applyBorder="1" applyAlignment="1">
      <alignment horizontal="left" vertical="center"/>
    </xf>
    <xf numFmtId="0" fontId="52" fillId="19" borderId="0" xfId="0" applyFont="1" applyFill="1" applyBorder="1" applyAlignment="1">
      <alignment horizontal="left" vertical="center" wrapText="1"/>
    </xf>
    <xf numFmtId="3" fontId="16" fillId="2" borderId="17" xfId="0" applyNumberFormat="1" applyFont="1" applyFill="1" applyBorder="1" applyAlignment="1">
      <alignment horizontal="right" vertical="center"/>
    </xf>
    <xf numFmtId="166" fontId="55" fillId="19" borderId="35" xfId="0" applyNumberFormat="1" applyFont="1" applyFill="1" applyBorder="1" applyAlignment="1">
      <alignment horizontal="right" vertical="center"/>
    </xf>
    <xf numFmtId="0" fontId="7" fillId="8" borderId="16" xfId="0" applyFont="1" applyFill="1" applyBorder="1" applyAlignment="1">
      <alignment horizontal="left" vertical="center"/>
    </xf>
    <xf numFmtId="0" fontId="0" fillId="0" borderId="0" xfId="0" applyBorder="1"/>
    <xf numFmtId="166" fontId="56" fillId="20" borderId="33" xfId="0" applyNumberFormat="1" applyFont="1" applyFill="1" applyBorder="1" applyAlignment="1">
      <alignment horizontal="right" vertical="center"/>
    </xf>
    <xf numFmtId="0" fontId="53" fillId="20" borderId="36" xfId="0" applyFont="1" applyFill="1" applyBorder="1" applyAlignment="1">
      <alignment horizontal="left" vertical="center"/>
    </xf>
    <xf numFmtId="0" fontId="7" fillId="8" borderId="37" xfId="0" applyFont="1" applyFill="1" applyBorder="1" applyAlignment="1">
      <alignment horizontal="left" vertical="center"/>
    </xf>
    <xf numFmtId="0" fontId="0" fillId="0" borderId="38" xfId="0" applyBorder="1"/>
    <xf numFmtId="166" fontId="56" fillId="20" borderId="37" xfId="0" applyNumberFormat="1" applyFont="1" applyFill="1" applyBorder="1" applyAlignment="1">
      <alignment horizontal="right" vertical="center"/>
    </xf>
    <xf numFmtId="166" fontId="56" fillId="20" borderId="39" xfId="0" applyNumberFormat="1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1A237E"/>
      <color rgb="FFC8A217"/>
      <color rgb="FFCC9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400"/>
  </sheetPr>
  <dimension ref="A1:I47"/>
  <sheetViews>
    <sheetView showGridLines="0" zoomScale="85" zoomScaleNormal="85" workbookViewId="0">
      <selection activeCell="E40" sqref="E40"/>
    </sheetView>
  </sheetViews>
  <sheetFormatPr defaultColWidth="0" defaultRowHeight="14.4" x14ac:dyDescent="0.3"/>
  <cols>
    <col min="1" max="1" width="5.21875" customWidth="1"/>
    <col min="2" max="8" width="18" customWidth="1"/>
    <col min="9" max="9" width="8.77734375" customWidth="1"/>
    <col min="10" max="10" width="8.77734375" hidden="1" customWidth="1"/>
    <col min="11" max="16384" width="8.77734375" hidden="1"/>
  </cols>
  <sheetData>
    <row r="1" spans="2:8" ht="7.95" customHeight="1" x14ac:dyDescent="0.3">
      <c r="B1" s="130"/>
      <c r="C1" s="110"/>
      <c r="D1" s="110"/>
      <c r="E1" s="110"/>
      <c r="F1" s="110"/>
      <c r="G1" s="110"/>
      <c r="H1" s="111"/>
    </row>
    <row r="2" spans="2:8" ht="30" customHeight="1" x14ac:dyDescent="0.3">
      <c r="B2" s="125" t="s">
        <v>18</v>
      </c>
      <c r="C2" s="110"/>
      <c r="D2" s="110"/>
      <c r="E2" s="110"/>
      <c r="F2" s="110"/>
      <c r="G2" s="110"/>
      <c r="H2" s="111"/>
    </row>
    <row r="3" spans="2:8" ht="18" customHeight="1" x14ac:dyDescent="0.3">
      <c r="B3" s="129" t="s">
        <v>19</v>
      </c>
      <c r="C3" s="110"/>
      <c r="D3" s="110"/>
      <c r="E3" s="110"/>
      <c r="F3" s="110"/>
      <c r="G3" s="110"/>
      <c r="H3" s="111"/>
    </row>
    <row r="4" spans="2:8" ht="40.049999999999997" customHeight="1" x14ac:dyDescent="0.3">
      <c r="B4" s="132" t="s">
        <v>20</v>
      </c>
      <c r="C4" s="110"/>
      <c r="D4" s="110"/>
      <c r="E4" s="110"/>
      <c r="F4" s="110"/>
      <c r="G4" s="110"/>
      <c r="H4" s="111"/>
    </row>
    <row r="5" spans="2:8" ht="19.95" customHeight="1" x14ac:dyDescent="0.3">
      <c r="B5" s="121" t="s">
        <v>21</v>
      </c>
      <c r="C5" s="110"/>
      <c r="D5" s="110"/>
      <c r="E5" s="110"/>
      <c r="F5" s="110"/>
      <c r="G5" s="110"/>
      <c r="H5" s="111"/>
    </row>
    <row r="6" spans="2:8" ht="18" customHeight="1" x14ac:dyDescent="0.3">
      <c r="B6" s="133" t="s">
        <v>22</v>
      </c>
      <c r="C6" s="110"/>
      <c r="D6" s="110"/>
      <c r="E6" s="110"/>
      <c r="F6" s="110"/>
      <c r="G6" s="110"/>
      <c r="H6" s="111"/>
    </row>
    <row r="7" spans="2:8" ht="7.95" customHeight="1" x14ac:dyDescent="0.3"/>
    <row r="8" spans="2:8" ht="15" customHeight="1" x14ac:dyDescent="0.3">
      <c r="B8" s="118" t="s">
        <v>23</v>
      </c>
      <c r="C8" s="110"/>
      <c r="D8" s="111"/>
      <c r="E8" s="127"/>
      <c r="F8" s="116"/>
      <c r="G8" s="116"/>
      <c r="H8" s="117"/>
    </row>
    <row r="9" spans="2:8" ht="15" customHeight="1" x14ac:dyDescent="0.3">
      <c r="B9" s="118" t="s">
        <v>24</v>
      </c>
      <c r="C9" s="110"/>
      <c r="D9" s="111"/>
      <c r="E9" s="127"/>
      <c r="F9" s="116"/>
      <c r="G9" s="116"/>
      <c r="H9" s="117"/>
    </row>
    <row r="10" spans="2:8" ht="15" customHeight="1" x14ac:dyDescent="0.3">
      <c r="B10" s="118" t="s">
        <v>25</v>
      </c>
      <c r="C10" s="110"/>
      <c r="D10" s="111"/>
      <c r="E10" s="127"/>
      <c r="F10" s="116"/>
      <c r="G10" s="116"/>
      <c r="H10" s="117"/>
    </row>
    <row r="11" spans="2:8" ht="15" customHeight="1" x14ac:dyDescent="0.3">
      <c r="B11" s="118" t="s">
        <v>26</v>
      </c>
      <c r="C11" s="110"/>
      <c r="D11" s="111"/>
      <c r="E11" s="120" t="s">
        <v>27</v>
      </c>
      <c r="F11" s="116"/>
      <c r="G11" s="116"/>
      <c r="H11" s="117"/>
    </row>
    <row r="12" spans="2:8" ht="15" customHeight="1" x14ac:dyDescent="0.3">
      <c r="B12" s="118" t="s">
        <v>28</v>
      </c>
      <c r="C12" s="110"/>
      <c r="D12" s="111"/>
      <c r="E12" s="120" t="s">
        <v>29</v>
      </c>
      <c r="F12" s="116"/>
      <c r="G12" s="116"/>
      <c r="H12" s="117"/>
    </row>
    <row r="13" spans="2:8" ht="15" customHeight="1" x14ac:dyDescent="0.3">
      <c r="B13" s="118" t="s">
        <v>30</v>
      </c>
      <c r="C13" s="110"/>
      <c r="D13" s="111"/>
      <c r="E13" s="120" t="s">
        <v>31</v>
      </c>
      <c r="F13" s="116"/>
      <c r="G13" s="116"/>
      <c r="H13" s="117"/>
    </row>
    <row r="14" spans="2:8" ht="15" customHeight="1" x14ac:dyDescent="0.3">
      <c r="B14" s="118" t="s">
        <v>32</v>
      </c>
      <c r="C14" s="110"/>
      <c r="D14" s="111"/>
      <c r="E14" s="120" t="s">
        <v>33</v>
      </c>
      <c r="F14" s="116"/>
      <c r="G14" s="116"/>
      <c r="H14" s="117"/>
    </row>
    <row r="15" spans="2:8" ht="15" customHeight="1" x14ac:dyDescent="0.3">
      <c r="B15" s="118" t="s">
        <v>34</v>
      </c>
      <c r="C15" s="110"/>
      <c r="D15" s="111"/>
      <c r="E15" s="120" t="s">
        <v>35</v>
      </c>
      <c r="F15" s="116"/>
      <c r="G15" s="116"/>
      <c r="H15" s="117"/>
    </row>
    <row r="16" spans="2:8" ht="15" customHeight="1" x14ac:dyDescent="0.3">
      <c r="B16" s="118" t="s">
        <v>36</v>
      </c>
      <c r="C16" s="110"/>
      <c r="D16" s="111"/>
      <c r="E16" s="120" t="s">
        <v>37</v>
      </c>
      <c r="F16" s="116"/>
      <c r="G16" s="116"/>
      <c r="H16" s="117"/>
    </row>
    <row r="17" spans="2:8" ht="15" customHeight="1" x14ac:dyDescent="0.3">
      <c r="B17" s="118" t="s">
        <v>38</v>
      </c>
      <c r="C17" s="110"/>
      <c r="D17" s="111"/>
      <c r="E17" s="120" t="s">
        <v>39</v>
      </c>
      <c r="F17" s="116"/>
      <c r="G17" s="116"/>
      <c r="H17" s="117"/>
    </row>
    <row r="18" spans="2:8" ht="15" customHeight="1" x14ac:dyDescent="0.3">
      <c r="B18" s="118" t="s">
        <v>40</v>
      </c>
      <c r="C18" s="110"/>
      <c r="D18" s="111"/>
      <c r="E18" s="123">
        <v>46086</v>
      </c>
      <c r="F18" s="116"/>
      <c r="G18" s="116"/>
      <c r="H18" s="117"/>
    </row>
    <row r="19" spans="2:8" ht="7.95" customHeight="1" x14ac:dyDescent="0.3"/>
    <row r="20" spans="2:8" x14ac:dyDescent="0.3">
      <c r="B20" s="122" t="s">
        <v>41</v>
      </c>
      <c r="C20" s="110"/>
      <c r="D20" s="110"/>
      <c r="E20" s="110"/>
      <c r="F20" s="110"/>
      <c r="G20" s="110"/>
      <c r="H20" s="111"/>
    </row>
    <row r="21" spans="2:8" ht="16.05" customHeight="1" x14ac:dyDescent="0.3">
      <c r="B21" s="131" t="s">
        <v>42</v>
      </c>
      <c r="C21" s="116"/>
      <c r="D21" s="116"/>
      <c r="E21" s="116"/>
      <c r="F21" s="116"/>
      <c r="G21" s="116"/>
      <c r="H21" s="117"/>
    </row>
    <row r="22" spans="2:8" ht="13.95" customHeight="1" x14ac:dyDescent="0.3">
      <c r="B22" s="119" t="s">
        <v>43</v>
      </c>
      <c r="C22" s="116"/>
      <c r="D22" s="116"/>
      <c r="E22" s="116"/>
      <c r="F22" s="116"/>
      <c r="G22" s="116"/>
      <c r="H22" s="117"/>
    </row>
    <row r="23" spans="2:8" ht="13.95" customHeight="1" x14ac:dyDescent="0.3">
      <c r="B23" s="119" t="s">
        <v>44</v>
      </c>
      <c r="C23" s="116"/>
      <c r="D23" s="116"/>
      <c r="E23" s="116"/>
      <c r="F23" s="116"/>
      <c r="G23" s="116"/>
      <c r="H23" s="117"/>
    </row>
    <row r="24" spans="2:8" ht="13.95" customHeight="1" x14ac:dyDescent="0.3">
      <c r="B24" s="119" t="s">
        <v>45</v>
      </c>
      <c r="C24" s="116"/>
      <c r="D24" s="116"/>
      <c r="E24" s="116"/>
      <c r="F24" s="116"/>
      <c r="G24" s="116"/>
      <c r="H24" s="117"/>
    </row>
    <row r="25" spans="2:8" ht="13.95" customHeight="1" x14ac:dyDescent="0.3">
      <c r="B25" s="119" t="s">
        <v>46</v>
      </c>
      <c r="C25" s="116"/>
      <c r="D25" s="116"/>
      <c r="E25" s="116"/>
      <c r="F25" s="116"/>
      <c r="G25" s="116"/>
      <c r="H25" s="117"/>
    </row>
    <row r="26" spans="2:8" ht="13.95" customHeight="1" x14ac:dyDescent="0.3">
      <c r="B26" s="119" t="s">
        <v>47</v>
      </c>
      <c r="C26" s="116"/>
      <c r="D26" s="116"/>
      <c r="E26" s="116"/>
      <c r="F26" s="116"/>
      <c r="G26" s="116"/>
      <c r="H26" s="117"/>
    </row>
    <row r="27" spans="2:8" ht="13.95" customHeight="1" x14ac:dyDescent="0.3">
      <c r="B27" s="119" t="s">
        <v>48</v>
      </c>
      <c r="C27" s="116"/>
      <c r="D27" s="116"/>
      <c r="E27" s="116"/>
      <c r="F27" s="116"/>
      <c r="G27" s="116"/>
      <c r="H27" s="117"/>
    </row>
    <row r="28" spans="2:8" ht="7.95" customHeight="1" x14ac:dyDescent="0.3"/>
    <row r="29" spans="2:8" x14ac:dyDescent="0.3">
      <c r="B29" s="122" t="s">
        <v>49</v>
      </c>
      <c r="C29" s="110"/>
      <c r="D29" s="110"/>
      <c r="E29" s="110"/>
      <c r="F29" s="110"/>
      <c r="G29" s="110"/>
      <c r="H29" s="111"/>
    </row>
    <row r="30" spans="2:8" ht="13.95" customHeight="1" x14ac:dyDescent="0.3">
      <c r="B30" s="74" t="s">
        <v>50</v>
      </c>
      <c r="C30" s="126" t="s">
        <v>51</v>
      </c>
      <c r="D30" s="116"/>
      <c r="E30" s="116"/>
      <c r="F30" s="116"/>
      <c r="G30" s="116"/>
      <c r="H30" s="117"/>
    </row>
    <row r="31" spans="2:8" ht="13.95" customHeight="1" x14ac:dyDescent="0.3">
      <c r="B31" s="75" t="s">
        <v>50</v>
      </c>
      <c r="C31" s="115" t="s">
        <v>52</v>
      </c>
      <c r="D31" s="116"/>
      <c r="E31" s="116"/>
      <c r="F31" s="116"/>
      <c r="G31" s="116"/>
      <c r="H31" s="117"/>
    </row>
    <row r="32" spans="2:8" ht="13.95" customHeight="1" x14ac:dyDescent="0.3">
      <c r="B32" s="3" t="s">
        <v>50</v>
      </c>
      <c r="C32" s="126" t="s">
        <v>53</v>
      </c>
      <c r="D32" s="116"/>
      <c r="E32" s="116"/>
      <c r="F32" s="116"/>
      <c r="G32" s="116"/>
      <c r="H32" s="117"/>
    </row>
    <row r="33" spans="2:8" ht="13.95" customHeight="1" x14ac:dyDescent="0.3">
      <c r="B33" s="4" t="s">
        <v>50</v>
      </c>
      <c r="C33" s="126" t="s">
        <v>54</v>
      </c>
      <c r="D33" s="116"/>
      <c r="E33" s="116"/>
      <c r="F33" s="116"/>
      <c r="G33" s="116"/>
      <c r="H33" s="117"/>
    </row>
    <row r="34" spans="2:8" ht="13.95" customHeight="1" x14ac:dyDescent="0.3">
      <c r="B34" s="5" t="s">
        <v>50</v>
      </c>
      <c r="C34" s="126" t="s">
        <v>55</v>
      </c>
      <c r="D34" s="116"/>
      <c r="E34" s="116"/>
      <c r="F34" s="116"/>
      <c r="G34" s="116"/>
      <c r="H34" s="117"/>
    </row>
    <row r="35" spans="2:8" ht="13.95" customHeight="1" x14ac:dyDescent="0.3">
      <c r="B35" s="6" t="s">
        <v>50</v>
      </c>
      <c r="C35" s="126" t="s">
        <v>56</v>
      </c>
      <c r="D35" s="116"/>
      <c r="E35" s="116"/>
      <c r="F35" s="116"/>
      <c r="G35" s="116"/>
      <c r="H35" s="117"/>
    </row>
    <row r="36" spans="2:8" ht="7.95" customHeight="1" x14ac:dyDescent="0.3"/>
    <row r="37" spans="2:8" ht="30" customHeight="1" x14ac:dyDescent="0.3">
      <c r="B37" s="128" t="s">
        <v>57</v>
      </c>
      <c r="C37" s="110"/>
      <c r="D37" s="110"/>
      <c r="E37" s="110"/>
      <c r="F37" s="110"/>
      <c r="G37" s="110"/>
      <c r="H37" s="111"/>
    </row>
    <row r="38" spans="2:8" ht="9" customHeight="1" x14ac:dyDescent="0.3"/>
    <row r="39" spans="2:8" x14ac:dyDescent="0.3">
      <c r="B39" s="124" t="s">
        <v>58</v>
      </c>
      <c r="C39" s="114"/>
      <c r="D39" s="114"/>
      <c r="E39" s="114"/>
      <c r="F39" s="114"/>
      <c r="G39" s="114"/>
      <c r="H39" s="114"/>
    </row>
    <row r="40" spans="2:8" ht="23.55" customHeight="1" x14ac:dyDescent="0.3">
      <c r="B40" s="71" t="s">
        <v>59</v>
      </c>
      <c r="C40" s="72"/>
      <c r="D40" s="72"/>
      <c r="E40" s="72"/>
      <c r="F40" s="72"/>
      <c r="G40" s="72"/>
      <c r="H40" s="72"/>
    </row>
    <row r="41" spans="2:8" ht="27" customHeight="1" x14ac:dyDescent="0.3">
      <c r="B41" s="71" t="s">
        <v>60</v>
      </c>
      <c r="C41" s="72"/>
      <c r="D41" s="72"/>
      <c r="E41" s="72"/>
      <c r="F41" s="72"/>
      <c r="G41" s="72"/>
      <c r="H41" s="72"/>
    </row>
    <row r="42" spans="2:8" ht="27.45" customHeight="1" x14ac:dyDescent="0.3">
      <c r="B42" s="71" t="s">
        <v>61</v>
      </c>
      <c r="C42" s="72"/>
      <c r="D42" s="72"/>
      <c r="E42" s="72"/>
      <c r="F42" s="72"/>
      <c r="G42" s="72"/>
      <c r="H42" s="72"/>
    </row>
    <row r="43" spans="2:8" ht="25.95" customHeight="1" x14ac:dyDescent="0.3">
      <c r="B43" s="71" t="s">
        <v>62</v>
      </c>
      <c r="C43" s="72"/>
      <c r="D43" s="72"/>
      <c r="E43" s="72"/>
      <c r="F43" s="72"/>
      <c r="G43" s="72"/>
      <c r="H43" s="72"/>
    </row>
    <row r="44" spans="2:8" ht="23.55" customHeight="1" x14ac:dyDescent="0.3">
      <c r="B44" s="71" t="s">
        <v>63</v>
      </c>
      <c r="C44" s="72"/>
      <c r="D44" s="72"/>
      <c r="E44" s="72"/>
      <c r="F44" s="72"/>
      <c r="G44" s="72"/>
      <c r="H44" s="72"/>
    </row>
    <row r="45" spans="2:8" ht="23.55" customHeight="1" x14ac:dyDescent="0.3">
      <c r="B45" s="71" t="s">
        <v>64</v>
      </c>
      <c r="C45" s="72"/>
      <c r="D45" s="72"/>
      <c r="E45" s="72"/>
      <c r="F45" s="72"/>
      <c r="G45" s="72"/>
      <c r="H45" s="72"/>
    </row>
    <row r="46" spans="2:8" ht="25.05" customHeight="1" x14ac:dyDescent="0.3">
      <c r="B46" s="72" t="s">
        <v>65</v>
      </c>
      <c r="C46" s="73"/>
      <c r="D46" s="73"/>
      <c r="E46" s="73"/>
      <c r="F46" s="73"/>
      <c r="G46" s="73"/>
      <c r="H46" s="73"/>
    </row>
    <row r="47" spans="2:8" ht="27" customHeight="1" x14ac:dyDescent="0.3">
      <c r="B47" s="72" t="s">
        <v>66</v>
      </c>
      <c r="C47" s="73"/>
      <c r="D47" s="73"/>
      <c r="E47" s="73"/>
      <c r="F47" s="73"/>
      <c r="G47" s="73"/>
      <c r="H47" s="73"/>
    </row>
  </sheetData>
  <mergeCells count="45">
    <mergeCell ref="B1:H1"/>
    <mergeCell ref="B18:D18"/>
    <mergeCell ref="E15:H15"/>
    <mergeCell ref="C35:H35"/>
    <mergeCell ref="B29:H29"/>
    <mergeCell ref="B12:D12"/>
    <mergeCell ref="E11:H11"/>
    <mergeCell ref="B27:H27"/>
    <mergeCell ref="E8:H8"/>
    <mergeCell ref="B21:H21"/>
    <mergeCell ref="B4:H4"/>
    <mergeCell ref="E12:H12"/>
    <mergeCell ref="B9:D9"/>
    <mergeCell ref="B25:H25"/>
    <mergeCell ref="B15:D15"/>
    <mergeCell ref="B6:H6"/>
    <mergeCell ref="B39:H39"/>
    <mergeCell ref="B2:H2"/>
    <mergeCell ref="C34:H34"/>
    <mergeCell ref="E10:H10"/>
    <mergeCell ref="C30:H30"/>
    <mergeCell ref="B16:D16"/>
    <mergeCell ref="B23:H23"/>
    <mergeCell ref="E13:H13"/>
    <mergeCell ref="C33:H33"/>
    <mergeCell ref="E9:H9"/>
    <mergeCell ref="B37:H37"/>
    <mergeCell ref="B3:H3"/>
    <mergeCell ref="E14:H14"/>
    <mergeCell ref="B22:H22"/>
    <mergeCell ref="C32:H32"/>
    <mergeCell ref="E17:H17"/>
    <mergeCell ref="B5:H5"/>
    <mergeCell ref="B20:H20"/>
    <mergeCell ref="B10:D10"/>
    <mergeCell ref="E18:H18"/>
    <mergeCell ref="B11:D11"/>
    <mergeCell ref="B14:D14"/>
    <mergeCell ref="B8:D8"/>
    <mergeCell ref="C31:H31"/>
    <mergeCell ref="B17:D17"/>
    <mergeCell ref="B26:H26"/>
    <mergeCell ref="B13:D13"/>
    <mergeCell ref="E16:H16"/>
    <mergeCell ref="B24:H2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392B"/>
  </sheetPr>
  <dimension ref="B1:P19"/>
  <sheetViews>
    <sheetView showGridLines="0" workbookViewId="0">
      <selection activeCell="B3" sqref="B3:P3"/>
    </sheetView>
  </sheetViews>
  <sheetFormatPr defaultRowHeight="14.4" x14ac:dyDescent="0.3"/>
  <cols>
    <col min="1" max="1" width="2" customWidth="1"/>
    <col min="2" max="2" width="7.21875" customWidth="1"/>
    <col min="3" max="3" width="35" customWidth="1"/>
    <col min="4" max="4" width="12" customWidth="1"/>
    <col min="5" max="5" width="10" customWidth="1"/>
    <col min="6" max="15" width="15" customWidth="1"/>
  </cols>
  <sheetData>
    <row r="1" spans="2:16" ht="13.05" customHeight="1" x14ac:dyDescent="0.3">
      <c r="B1" s="70" t="s">
        <v>0</v>
      </c>
      <c r="C1" s="70" t="s">
        <v>1</v>
      </c>
    </row>
    <row r="2" spans="2:16" x14ac:dyDescent="0.3">
      <c r="B2" s="149" t="s">
        <v>660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1"/>
    </row>
    <row r="3" spans="2:16" ht="30" customHeight="1" x14ac:dyDescent="0.3">
      <c r="B3" s="112" t="s">
        <v>427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1"/>
    </row>
    <row r="4" spans="2:16" ht="24" customHeight="1" x14ac:dyDescent="0.3">
      <c r="B4" s="12" t="s">
        <v>123</v>
      </c>
      <c r="C4" s="12" t="s">
        <v>428</v>
      </c>
      <c r="D4" s="12" t="s">
        <v>429</v>
      </c>
      <c r="E4" s="12" t="s">
        <v>430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6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6" x14ac:dyDescent="0.3">
      <c r="B6" s="4" t="s">
        <v>431</v>
      </c>
      <c r="C6" s="2" t="s">
        <v>190</v>
      </c>
      <c r="D6" s="20">
        <v>50</v>
      </c>
      <c r="E6" s="19">
        <f t="shared" ref="E6:E14" si="0">IFERROR(1/D6,0)</f>
        <v>0.02</v>
      </c>
      <c r="F6" s="35">
        <f>'03_Fixed Assets'!I11</f>
        <v>750000000</v>
      </c>
      <c r="G6" s="103">
        <f>IFERROR(MIN($F6*$E6*(1+'01_Macro Parameters'!I20),MAX($F6-$F6*$E6*(1+'01_Macro Parameters'!H20),0)),0)</f>
        <v>17550000</v>
      </c>
      <c r="H6" s="103">
        <f>IFERROR(MIN($F6*$E6*(1+'01_Macro Parameters'!J20),MAX($F6-$F6*$E6*(1+'01_Macro Parameters'!H20)-SUM(G6:G6),0)),0)</f>
        <v>17400000</v>
      </c>
      <c r="I6" s="103">
        <f>IFERROR(MIN($F6*$E6*(1+'01_Macro Parameters'!K20),MAX($F6-$F6*$E6*(1+'01_Macro Parameters'!H20)-SUM(G6:H6),0)),0)</f>
        <v>17250000</v>
      </c>
      <c r="J6" s="103">
        <f>IFERROR(MIN($F6*$E6*(1+'01_Macro Parameters'!L20),MAX($F6-$F6*$E6*(1+'01_Macro Parameters'!H20)-SUM(G6:I6),0)),0)</f>
        <v>17100000.000000004</v>
      </c>
      <c r="K6" s="103">
        <f>IFERROR(MIN($F6*$E6*(1+'01_Macro Parameters'!M20),MAX($F6-$F6*$E6*(1+'01_Macro Parameters'!H20)-SUM(G6:J6),0)),0)</f>
        <v>16950000</v>
      </c>
      <c r="L6" s="103">
        <f>IFERROR(MIN($F6*$E6*(1+'01_Macro Parameters'!N20),MAX($F6-$F6*$E6*(1+'01_Macro Parameters'!H20)-SUM(G6:K6),0)),0)</f>
        <v>16800000</v>
      </c>
      <c r="M6" s="103">
        <f>IFERROR(MIN($F6*$E6*(1+'01_Macro Parameters'!O20),MAX($F6-$F6*$E6*(1+'01_Macro Parameters'!H20)-SUM(G6:L6),0)),0)</f>
        <v>16650000.000000002</v>
      </c>
      <c r="N6" s="103">
        <f>IFERROR(MIN($F6*$E6*(1+'01_Macro Parameters'!P20),MAX($F6-$F6*$E6*(1+'01_Macro Parameters'!H20)-SUM(G6:M6),0)),0)</f>
        <v>16500000.000000002</v>
      </c>
      <c r="O6" s="103">
        <f>IFERROR(MIN($F6*$E6*(1+'01_Macro Parameters'!Q20),MAX($F6-$F6*$E6*(1+'01_Macro Parameters'!H20)-SUM(G6:N6),0)),0)</f>
        <v>16500000.000000002</v>
      </c>
    </row>
    <row r="7" spans="2:16" x14ac:dyDescent="0.3">
      <c r="B7" s="4" t="s">
        <v>432</v>
      </c>
      <c r="C7" s="2" t="s">
        <v>203</v>
      </c>
      <c r="D7" s="20">
        <v>50</v>
      </c>
      <c r="E7" s="19">
        <f t="shared" si="0"/>
        <v>0.02</v>
      </c>
      <c r="F7" s="35">
        <f>'03_Fixed Assets'!I19</f>
        <v>1280000000</v>
      </c>
      <c r="G7" s="103">
        <f>IFERROR(MIN($F7*$E7*(1+'01_Macro Parameters'!I20),MAX($F7-$F7*$E7*(1+'01_Macro Parameters'!H20),0)),0)</f>
        <v>29952000</v>
      </c>
      <c r="H7" s="103">
        <f>IFERROR(MIN($F7*$E7*(1+'01_Macro Parameters'!J20),MAX($F7-$F7*$E7*(1+'01_Macro Parameters'!H20)-SUM(G7:G7),0)),0)</f>
        <v>29695999.999999996</v>
      </c>
      <c r="I7" s="103">
        <f>IFERROR(MIN($F7*$E7*(1+'01_Macro Parameters'!K20),MAX($F7-$F7*$E7*(1+'01_Macro Parameters'!H20)-SUM(G7:H7),0)),0)</f>
        <v>29439999.999999996</v>
      </c>
      <c r="J7" s="103">
        <f>IFERROR(MIN($F7*$E7*(1+'01_Macro Parameters'!L20),MAX($F7-$F7*$E7*(1+'01_Macro Parameters'!H20)-SUM(G7:I7),0)),0)</f>
        <v>29184000.000000004</v>
      </c>
      <c r="K7" s="103">
        <f>IFERROR(MIN($F7*$E7*(1+'01_Macro Parameters'!M20),MAX($F7-$F7*$E7*(1+'01_Macro Parameters'!H20)-SUM(G7:J7),0)),0)</f>
        <v>28927999.999999996</v>
      </c>
      <c r="L7" s="103">
        <f>IFERROR(MIN($F7*$E7*(1+'01_Macro Parameters'!N20),MAX($F7-$F7*$E7*(1+'01_Macro Parameters'!H20)-SUM(G7:K7),0)),0)</f>
        <v>28672000.000000004</v>
      </c>
      <c r="M7" s="103">
        <f>IFERROR(MIN($F7*$E7*(1+'01_Macro Parameters'!O20),MAX($F7-$F7*$E7*(1+'01_Macro Parameters'!H20)-SUM(G7:L7),0)),0)</f>
        <v>28416000.000000004</v>
      </c>
      <c r="N7" s="103">
        <f>IFERROR(MIN($F7*$E7*(1+'01_Macro Parameters'!P20),MAX($F7-$F7*$E7*(1+'01_Macro Parameters'!H20)-SUM(G7:M7),0)),0)</f>
        <v>28160000.000000004</v>
      </c>
      <c r="O7" s="103">
        <f>IFERROR(MIN($F7*$E7*(1+'01_Macro Parameters'!Q20),MAX($F7-$F7*$E7*(1+'01_Macro Parameters'!H20)-SUM(G7:N7),0)),0)</f>
        <v>28160000.000000004</v>
      </c>
    </row>
    <row r="8" spans="2:16" x14ac:dyDescent="0.3">
      <c r="B8" s="4" t="s">
        <v>433</v>
      </c>
      <c r="C8" s="2" t="s">
        <v>214</v>
      </c>
      <c r="D8" s="20">
        <v>20</v>
      </c>
      <c r="E8" s="19">
        <f t="shared" si="0"/>
        <v>0.05</v>
      </c>
      <c r="F8" s="35">
        <f>'03_Fixed Assets'!I27</f>
        <v>5200000000</v>
      </c>
      <c r="G8" s="103">
        <f>IFERROR(MIN($F8*$E8*(1+'01_Macro Parameters'!I20),MAX($F8-$F8*$E8*(1+'01_Macro Parameters'!H20),0)),0)</f>
        <v>304200000</v>
      </c>
      <c r="H8" s="103">
        <f>IFERROR(MIN($F8*$E8*(1+'01_Macro Parameters'!J20),MAX($F8-$F8*$E8*(1+'01_Macro Parameters'!H20)-SUM(G8:G8),0)),0)</f>
        <v>301600000</v>
      </c>
      <c r="I8" s="103">
        <f>IFERROR(MIN($F8*$E8*(1+'01_Macro Parameters'!K20),MAX($F8-$F8*$E8*(1+'01_Macro Parameters'!H20)-SUM(G8:H8),0)),0)</f>
        <v>299000000</v>
      </c>
      <c r="J8" s="103">
        <f>IFERROR(MIN($F8*$E8*(1+'01_Macro Parameters'!L20),MAX($F8-$F8*$E8*(1+'01_Macro Parameters'!H20)-SUM(G8:I8),0)),0)</f>
        <v>296400000.00000006</v>
      </c>
      <c r="K8" s="103">
        <f>IFERROR(MIN($F8*$E8*(1+'01_Macro Parameters'!M20),MAX($F8-$F8*$E8*(1+'01_Macro Parameters'!H20)-SUM(G8:J8),0)),0)</f>
        <v>293800000</v>
      </c>
      <c r="L8" s="103">
        <f>IFERROR(MIN($F8*$E8*(1+'01_Macro Parameters'!N20),MAX($F8-$F8*$E8*(1+'01_Macro Parameters'!H20)-SUM(G8:K8),0)),0)</f>
        <v>291200000</v>
      </c>
      <c r="M8" s="103">
        <f>IFERROR(MIN($F8*$E8*(1+'01_Macro Parameters'!O20),MAX($F8-$F8*$E8*(1+'01_Macro Parameters'!H20)-SUM(G8:L8),0)),0)</f>
        <v>288600000</v>
      </c>
      <c r="N8" s="103">
        <f>IFERROR(MIN($F8*$E8*(1+'01_Macro Parameters'!P20),MAX($F8-$F8*$E8*(1+'01_Macro Parameters'!H20)-SUM(G8:M8),0)),0)</f>
        <v>286000000</v>
      </c>
      <c r="O8" s="103">
        <f>IFERROR(MIN($F8*$E8*(1+'01_Macro Parameters'!Q20),MAX($F8-$F8*$E8*(1+'01_Macro Parameters'!H20)-SUM(G8:N8),0)),0)</f>
        <v>286000000</v>
      </c>
    </row>
    <row r="9" spans="2:16" x14ac:dyDescent="0.3">
      <c r="B9" s="4" t="s">
        <v>434</v>
      </c>
      <c r="C9" s="2" t="s">
        <v>435</v>
      </c>
      <c r="D9" s="20">
        <v>20</v>
      </c>
      <c r="E9" s="19">
        <f t="shared" si="0"/>
        <v>0.05</v>
      </c>
      <c r="F9" s="35">
        <f>'03_Fixed Assets'!I35</f>
        <v>3040000000</v>
      </c>
      <c r="G9" s="103">
        <f>IFERROR(MIN($F9*$E9*(1+'01_Macro Parameters'!I20),MAX($F9-$F9*$E9*(1+'01_Macro Parameters'!H20),0)),0)</f>
        <v>177840000</v>
      </c>
      <c r="H9" s="103">
        <f>IFERROR(MIN($F9*$E9*(1+'01_Macro Parameters'!J20),MAX($F9-$F9*$E9*(1+'01_Macro Parameters'!H20)-SUM(G9:G9),0)),0)</f>
        <v>176320000</v>
      </c>
      <c r="I9" s="103">
        <f>IFERROR(MIN($F9*$E9*(1+'01_Macro Parameters'!K20),MAX($F9-$F9*$E9*(1+'01_Macro Parameters'!H20)-SUM(G9:H9),0)),0)</f>
        <v>174800000</v>
      </c>
      <c r="J9" s="103">
        <f>IFERROR(MIN($F9*$E9*(1+'01_Macro Parameters'!L20),MAX($F9-$F9*$E9*(1+'01_Macro Parameters'!H20)-SUM(G9:I9),0)),0)</f>
        <v>173280000.00000003</v>
      </c>
      <c r="K9" s="103">
        <f>IFERROR(MIN($F9*$E9*(1+'01_Macro Parameters'!M20),MAX($F9-$F9*$E9*(1+'01_Macro Parameters'!H20)-SUM(G9:J9),0)),0)</f>
        <v>171759999.99999997</v>
      </c>
      <c r="L9" s="103">
        <f>IFERROR(MIN($F9*$E9*(1+'01_Macro Parameters'!N20),MAX($F9-$F9*$E9*(1+'01_Macro Parameters'!H20)-SUM(G9:K9),0)),0)</f>
        <v>170240000.00000003</v>
      </c>
      <c r="M9" s="103">
        <f>IFERROR(MIN($F9*$E9*(1+'01_Macro Parameters'!O20),MAX($F9-$F9*$E9*(1+'01_Macro Parameters'!H20)-SUM(G9:L9),0)),0)</f>
        <v>168720000</v>
      </c>
      <c r="N9" s="103">
        <f>IFERROR(MIN($F9*$E9*(1+'01_Macro Parameters'!P20),MAX($F9-$F9*$E9*(1+'01_Macro Parameters'!H20)-SUM(G9:M9),0)),0)</f>
        <v>167200000</v>
      </c>
      <c r="O9" s="103">
        <f>IFERROR(MIN($F9*$E9*(1+'01_Macro Parameters'!Q20),MAX($F9-$F9*$E9*(1+'01_Macro Parameters'!H20)-SUM(G9:N9),0)),0)</f>
        <v>167200000</v>
      </c>
    </row>
    <row r="10" spans="2:16" x14ac:dyDescent="0.3">
      <c r="B10" s="4" t="s">
        <v>436</v>
      </c>
      <c r="C10" s="2" t="s">
        <v>437</v>
      </c>
      <c r="D10" s="20">
        <v>20</v>
      </c>
      <c r="E10" s="19">
        <f t="shared" si="0"/>
        <v>0.05</v>
      </c>
      <c r="F10" s="35">
        <f>'03_Fixed Assets'!I43</f>
        <v>1680000000</v>
      </c>
      <c r="G10" s="103">
        <f>IFERROR(MIN($F10*$E10*(1+'01_Macro Parameters'!I20),MAX($F10-$F10*$E10*(1+'01_Macro Parameters'!H20),0)),0)</f>
        <v>98280000</v>
      </c>
      <c r="H10" s="103">
        <f>IFERROR(MIN($F10*$E10*(1+'01_Macro Parameters'!J20),MAX($F10-$F10*$E10*(1+'01_Macro Parameters'!H20)-SUM(G10:G10),0)),0)</f>
        <v>97440000</v>
      </c>
      <c r="I10" s="103">
        <f>IFERROR(MIN($F10*$E10*(1+'01_Macro Parameters'!K20),MAX($F10-$F10*$E10*(1+'01_Macro Parameters'!H20)-SUM(G10:H10),0)),0)</f>
        <v>96599999.999999985</v>
      </c>
      <c r="J10" s="103">
        <f>IFERROR(MIN($F10*$E10*(1+'01_Macro Parameters'!L20),MAX($F10-$F10*$E10*(1+'01_Macro Parameters'!H20)-SUM(G10:I10),0)),0)</f>
        <v>95760000.000000015</v>
      </c>
      <c r="K10" s="103">
        <f>IFERROR(MIN($F10*$E10*(1+'01_Macro Parameters'!M20),MAX($F10-$F10*$E10*(1+'01_Macro Parameters'!H20)-SUM(G10:J10),0)),0)</f>
        <v>94919999.999999985</v>
      </c>
      <c r="L10" s="103">
        <f>IFERROR(MIN($F10*$E10*(1+'01_Macro Parameters'!N20),MAX($F10-$F10*$E10*(1+'01_Macro Parameters'!H20)-SUM(G10:K10),0)),0)</f>
        <v>94080000.000000015</v>
      </c>
      <c r="M10" s="103">
        <f>IFERROR(MIN($F10*$E10*(1+'01_Macro Parameters'!O20),MAX($F10-$F10*$E10*(1+'01_Macro Parameters'!H20)-SUM(G10:L10),0)),0)</f>
        <v>93240000.000000015</v>
      </c>
      <c r="N10" s="103">
        <f>IFERROR(MIN($F10*$E10*(1+'01_Macro Parameters'!P20),MAX($F10-$F10*$E10*(1+'01_Macro Parameters'!H20)-SUM(G10:M10),0)),0)</f>
        <v>92400000.000000015</v>
      </c>
      <c r="O10" s="103">
        <f>IFERROR(MIN($F10*$E10*(1+'01_Macro Parameters'!Q20),MAX($F10-$F10*$E10*(1+'01_Macro Parameters'!H20)-SUM(G10:N10),0)),0)</f>
        <v>92400000.000000015</v>
      </c>
    </row>
    <row r="11" spans="2:16" x14ac:dyDescent="0.3">
      <c r="B11" s="4" t="s">
        <v>438</v>
      </c>
      <c r="C11" s="2" t="s">
        <v>249</v>
      </c>
      <c r="D11" s="20">
        <v>10</v>
      </c>
      <c r="E11" s="19">
        <f t="shared" si="0"/>
        <v>0.1</v>
      </c>
      <c r="F11" s="35">
        <f>'03_Fixed Assets'!I51</f>
        <v>1300000000</v>
      </c>
      <c r="G11" s="103">
        <f>IFERROR(MIN($F11*$E11*(1+'01_Macro Parameters'!I20),MAX($F11-$F11*$E11*(1+'01_Macro Parameters'!H20),0)),0)</f>
        <v>152100000</v>
      </c>
      <c r="H11" s="103">
        <f>IFERROR(MIN($F11*$E11*(1+'01_Macro Parameters'!J20),MAX($F11-$F11*$E11*(1+'01_Macro Parameters'!H20)-SUM(G11:G11),0)),0)</f>
        <v>150800000</v>
      </c>
      <c r="I11" s="103">
        <f>IFERROR(MIN($F11*$E11*(1+'01_Macro Parameters'!K20),MAX($F11-$F11*$E11*(1+'01_Macro Parameters'!H20)-SUM(G11:H11),0)),0)</f>
        <v>149500000</v>
      </c>
      <c r="J11" s="103">
        <f>IFERROR(MIN($F11*$E11*(1+'01_Macro Parameters'!L20),MAX($F11-$F11*$E11*(1+'01_Macro Parameters'!H20)-SUM(G11:I11),0)),0)</f>
        <v>148200000.00000003</v>
      </c>
      <c r="K11" s="103">
        <f>IFERROR(MIN($F11*$E11*(1+'01_Macro Parameters'!M20),MAX($F11-$F11*$E11*(1+'01_Macro Parameters'!H20)-SUM(G11:J11),0)),0)</f>
        <v>146900000</v>
      </c>
      <c r="L11" s="103">
        <f>IFERROR(MIN($F11*$E11*(1+'01_Macro Parameters'!N20),MAX($F11-$F11*$E11*(1+'01_Macro Parameters'!H20)-SUM(G11:K11),0)),0)</f>
        <v>145600000</v>
      </c>
      <c r="M11" s="103">
        <f>IFERROR(MIN($F11*$E11*(1+'01_Macro Parameters'!O20),MAX($F11-$F11*$E11*(1+'01_Macro Parameters'!H20)-SUM(G11:L11),0)),0)</f>
        <v>144300000</v>
      </c>
      <c r="N11" s="103">
        <f>IFERROR(MIN($F11*$E11*(1+'01_Macro Parameters'!P20),MAX($F11-$F11*$E11*(1+'01_Macro Parameters'!H20)-SUM(G11:M11),0)),0)</f>
        <v>109200000</v>
      </c>
      <c r="O11" s="103">
        <f>IFERROR(MIN($F11*$E11*(1+'01_Macro Parameters'!Q20),MAX($F11-$F11*$E11*(1+'01_Macro Parameters'!H20)-SUM(G11:N11),0)),0)</f>
        <v>0</v>
      </c>
    </row>
    <row r="12" spans="2:16" x14ac:dyDescent="0.3">
      <c r="B12" s="4" t="s">
        <v>439</v>
      </c>
      <c r="C12" s="2" t="s">
        <v>263</v>
      </c>
      <c r="D12" s="20">
        <v>5</v>
      </c>
      <c r="E12" s="19">
        <f t="shared" si="0"/>
        <v>0.2</v>
      </c>
      <c r="F12" s="35">
        <f>'03_Fixed Assets'!I59</f>
        <v>450000000</v>
      </c>
      <c r="G12" s="103">
        <f>IFERROR(MIN($F12*$E12*(1+'01_Macro Parameters'!I20),MAX($F12-$F12*$E12*(1+'01_Macro Parameters'!H20),0)),0)</f>
        <v>105300000</v>
      </c>
      <c r="H12" s="103">
        <f>IFERROR(MIN($F12*$E12*(1+'01_Macro Parameters'!J20),MAX($F12-$F12*$E12*(1+'01_Macro Parameters'!H20)-SUM(G12:G12),0)),0)</f>
        <v>104400000</v>
      </c>
      <c r="I12" s="103">
        <f>IFERROR(MIN($F12*$E12*(1+'01_Macro Parameters'!K20),MAX($F12-$F12*$E12*(1+'01_Macro Parameters'!H20)-SUM(G12:H12),0)),0)</f>
        <v>103499999.99999999</v>
      </c>
      <c r="J12" s="103">
        <f>IFERROR(MIN($F12*$E12*(1+'01_Macro Parameters'!L20),MAX($F12-$F12*$E12*(1+'01_Macro Parameters'!H20)-SUM(G12:I12),0)),0)</f>
        <v>30600000</v>
      </c>
      <c r="K12" s="103">
        <f>IFERROR(MIN($F12*$E12*(1+'01_Macro Parameters'!M20),MAX($F12-$F12*$E12*(1+'01_Macro Parameters'!H20)-SUM(G12:J12),0)),0)</f>
        <v>0</v>
      </c>
      <c r="L12" s="103">
        <f>IFERROR(MIN($F12*$E12*(1+'01_Macro Parameters'!N20),MAX($F12-$F12*$E12*(1+'01_Macro Parameters'!H20)-SUM(G12:K12),0)),0)</f>
        <v>0</v>
      </c>
      <c r="M12" s="103">
        <f>IFERROR(MIN($F12*$E12*(1+'01_Macro Parameters'!O20),MAX($F12-$F12*$E12*(1+'01_Macro Parameters'!H20)-SUM(G12:L12),0)),0)</f>
        <v>0</v>
      </c>
      <c r="N12" s="103">
        <f>IFERROR(MIN($F12*$E12*(1+'01_Macro Parameters'!P20),MAX($F12-$F12*$E12*(1+'01_Macro Parameters'!H20)-SUM(G12:M12),0)),0)</f>
        <v>0</v>
      </c>
      <c r="O12" s="103">
        <f>IFERROR(MIN($F12*$E12*(1+'01_Macro Parameters'!Q20),MAX($F12-$F12*$E12*(1+'01_Macro Parameters'!H20)-SUM(G12:N12),0)),0)</f>
        <v>0</v>
      </c>
    </row>
    <row r="13" spans="2:16" x14ac:dyDescent="0.3">
      <c r="B13" s="4" t="s">
        <v>440</v>
      </c>
      <c r="C13" s="2" t="s">
        <v>275</v>
      </c>
      <c r="D13" s="20">
        <v>5</v>
      </c>
      <c r="E13" s="19">
        <f t="shared" si="0"/>
        <v>0.2</v>
      </c>
      <c r="F13" s="35">
        <f>'03_Fixed Assets'!I67</f>
        <v>430000000</v>
      </c>
      <c r="G13" s="103">
        <f>IFERROR(MIN($F13*$E13*(1+'01_Macro Parameters'!I20),MAX($F13-$F13*$E13*(1+'01_Macro Parameters'!H20),0)),0)</f>
        <v>100620000</v>
      </c>
      <c r="H13" s="103">
        <f>IFERROR(MIN($F13*$E13*(1+'01_Macro Parameters'!J20),MAX($F13-$F13*$E13*(1+'01_Macro Parameters'!H20)-SUM(G13:G13),0)),0)</f>
        <v>99760000</v>
      </c>
      <c r="I13" s="103">
        <f>IFERROR(MIN($F13*$E13*(1+'01_Macro Parameters'!K20),MAX($F13-$F13*$E13*(1+'01_Macro Parameters'!H20)-SUM(G13:H13),0)),0)</f>
        <v>98899999.999999985</v>
      </c>
      <c r="J13" s="103">
        <f>IFERROR(MIN($F13*$E13*(1+'01_Macro Parameters'!L20),MAX($F13-$F13*$E13*(1+'01_Macro Parameters'!H20)-SUM(G13:I13),0)),0)</f>
        <v>29240000</v>
      </c>
      <c r="K13" s="103">
        <f>IFERROR(MIN($F13*$E13*(1+'01_Macro Parameters'!M20),MAX($F13-$F13*$E13*(1+'01_Macro Parameters'!H20)-SUM(G13:J13),0)),0)</f>
        <v>0</v>
      </c>
      <c r="L13" s="103">
        <f>IFERROR(MIN($F13*$E13*(1+'01_Macro Parameters'!N20),MAX($F13-$F13*$E13*(1+'01_Macro Parameters'!H20)-SUM(G13:K13),0)),0)</f>
        <v>0</v>
      </c>
      <c r="M13" s="103">
        <f>IFERROR(MIN($F13*$E13*(1+'01_Macro Parameters'!O20),MAX($F13-$F13*$E13*(1+'01_Macro Parameters'!H20)-SUM(G13:L13),0)),0)</f>
        <v>0</v>
      </c>
      <c r="N13" s="103">
        <f>IFERROR(MIN($F13*$E13*(1+'01_Macro Parameters'!P20),MAX($F13-$F13*$E13*(1+'01_Macro Parameters'!H20)-SUM(G13:M13),0)),0)</f>
        <v>0</v>
      </c>
      <c r="O13" s="103">
        <f>IFERROR(MIN($F13*$E13*(1+'01_Macro Parameters'!Q20),MAX($F13-$F13*$E13*(1+'01_Macro Parameters'!H20)-SUM(G13:N13),0)),0)</f>
        <v>0</v>
      </c>
    </row>
    <row r="14" spans="2:16" x14ac:dyDescent="0.3">
      <c r="B14" s="4" t="s">
        <v>441</v>
      </c>
      <c r="C14" s="2" t="s">
        <v>442</v>
      </c>
      <c r="D14" s="20">
        <v>5</v>
      </c>
      <c r="E14" s="19">
        <f t="shared" si="0"/>
        <v>0.2</v>
      </c>
      <c r="F14" s="35">
        <f>'03_Fixed Assets'!I75</f>
        <v>100000000</v>
      </c>
      <c r="G14" s="103">
        <f>IFERROR(MIN($F14*$E14*(1+'01_Macro Parameters'!I20),MAX($F14-$F14*$E14*(1+'01_Macro Parameters'!H20),0)),0)</f>
        <v>23400000</v>
      </c>
      <c r="H14" s="103">
        <f>IFERROR(MIN($F14*$E14*(1+'01_Macro Parameters'!J20),MAX($F14-$F14*$E14*(1+'01_Macro Parameters'!H20)-SUM(G14:G14),0)),0)</f>
        <v>23200000</v>
      </c>
      <c r="I14" s="103">
        <f>IFERROR(MIN($F14*$E14*(1+'01_Macro Parameters'!K20),MAX($F14-$F14*$E14*(1+'01_Macro Parameters'!H20)-SUM(G14:H14),0)),0)</f>
        <v>23000000</v>
      </c>
      <c r="J14" s="103">
        <f>IFERROR(MIN($F14*$E14*(1+'01_Macro Parameters'!L20),MAX($F14-$F14*$E14*(1+'01_Macro Parameters'!H20)-SUM(G14:I14),0)),0)</f>
        <v>6800000</v>
      </c>
      <c r="K14" s="103">
        <f>IFERROR(MIN($F14*$E14*(1+'01_Macro Parameters'!M20),MAX($F14-$F14*$E14*(1+'01_Macro Parameters'!H20)-SUM(G14:J14),0)),0)</f>
        <v>0</v>
      </c>
      <c r="L14" s="103">
        <f>IFERROR(MIN($F14*$E14*(1+'01_Macro Parameters'!N20),MAX($F14-$F14*$E14*(1+'01_Macro Parameters'!H20)-SUM(G14:K14),0)),0)</f>
        <v>0</v>
      </c>
      <c r="M14" s="103">
        <f>IFERROR(MIN($F14*$E14*(1+'01_Macro Parameters'!O20),MAX($F14-$F14*$E14*(1+'01_Macro Parameters'!H20)-SUM(G14:L14),0)),0)</f>
        <v>0</v>
      </c>
      <c r="N14" s="103">
        <f>IFERROR(MIN($F14*$E14*(1+'01_Macro Parameters'!P20),MAX($F14-$F14*$E14*(1+'01_Macro Parameters'!H20)-SUM(G14:M14),0)),0)</f>
        <v>0</v>
      </c>
      <c r="O14" s="103">
        <f>IFERROR(MIN($F14*$E14*(1+'01_Macro Parameters'!Q20),MAX($F14-$F14*$E14*(1+'01_Macro Parameters'!H20)-SUM(G14:N14),0)),0)</f>
        <v>0</v>
      </c>
    </row>
    <row r="15" spans="2:16" x14ac:dyDescent="0.3">
      <c r="B15" s="144" t="s">
        <v>443</v>
      </c>
      <c r="C15" s="110"/>
      <c r="D15" s="110"/>
      <c r="E15" s="111"/>
      <c r="F15" s="63">
        <f>IFERROR(F6*E6*(1+'01_Macro Parameters'!H20)+F7*E7*(1+'01_Macro Parameters'!H20)+F8*E8*(1+'01_Macro Parameters'!H20)+F9*E9*(1+'01_Macro Parameters'!H20)+F10*E10*(1+'01_Macro Parameters'!H20)+F11*E11*(1+'01_Macro Parameters'!H20)+F12*E12*(1+'01_Macro Parameters'!H20)+F13*E13*(1+'01_Macro Parameters'!H20)+F14*E14*(1+'01_Macro Parameters'!H20),0)</f>
        <v>1017868000</v>
      </c>
      <c r="G15" s="32">
        <f t="shared" ref="G15:O15" si="1">SUM(G6:G14)</f>
        <v>1009242000</v>
      </c>
      <c r="H15" s="32">
        <f t="shared" si="1"/>
        <v>1000616000</v>
      </c>
      <c r="I15" s="32">
        <f t="shared" si="1"/>
        <v>991990000</v>
      </c>
      <c r="J15" s="32">
        <f t="shared" si="1"/>
        <v>826564000.00000012</v>
      </c>
      <c r="K15" s="32">
        <f t="shared" si="1"/>
        <v>753258000</v>
      </c>
      <c r="L15" s="32">
        <f t="shared" si="1"/>
        <v>746592000</v>
      </c>
      <c r="M15" s="32">
        <f t="shared" si="1"/>
        <v>739926000</v>
      </c>
      <c r="N15" s="32">
        <f t="shared" si="1"/>
        <v>699460000</v>
      </c>
      <c r="O15" s="32">
        <f t="shared" si="1"/>
        <v>590260000</v>
      </c>
    </row>
    <row r="17" spans="2:16" ht="13.95" customHeight="1" x14ac:dyDescent="0.3">
      <c r="B17" s="142" t="s">
        <v>444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x14ac:dyDescent="0.3">
      <c r="B18" s="2" t="s">
        <v>445</v>
      </c>
      <c r="C18" s="2"/>
      <c r="D18" s="2" t="s">
        <v>298</v>
      </c>
      <c r="F18" s="103">
        <f>F15</f>
        <v>1017868000</v>
      </c>
      <c r="G18" s="103">
        <f t="shared" ref="G18:O18" si="2">F18+G15</f>
        <v>2027110000</v>
      </c>
      <c r="H18" s="103">
        <f t="shared" si="2"/>
        <v>3027726000</v>
      </c>
      <c r="I18" s="103">
        <f t="shared" si="2"/>
        <v>4019716000</v>
      </c>
      <c r="J18" s="103">
        <f t="shared" si="2"/>
        <v>4846280000</v>
      </c>
      <c r="K18" s="103">
        <f t="shared" si="2"/>
        <v>5599538000</v>
      </c>
      <c r="L18" s="103">
        <f t="shared" si="2"/>
        <v>6346130000</v>
      </c>
      <c r="M18" s="103">
        <f t="shared" si="2"/>
        <v>7086056000</v>
      </c>
      <c r="N18" s="103">
        <f t="shared" si="2"/>
        <v>7785516000</v>
      </c>
      <c r="O18" s="103">
        <f t="shared" si="2"/>
        <v>8375776000</v>
      </c>
    </row>
    <row r="19" spans="2:16" x14ac:dyDescent="0.3">
      <c r="B19" s="2" t="s">
        <v>446</v>
      </c>
      <c r="D19" s="2" t="s">
        <v>298</v>
      </c>
      <c r="F19" s="103">
        <f>F15-F18</f>
        <v>0</v>
      </c>
      <c r="G19" s="103">
        <f>SUM(F6:F14)-F15</f>
        <v>13212132000</v>
      </c>
      <c r="H19" s="103">
        <f t="shared" ref="H19:O19" si="3">G19-G15</f>
        <v>12202890000</v>
      </c>
      <c r="I19" s="103">
        <f t="shared" si="3"/>
        <v>11202274000</v>
      </c>
      <c r="J19" s="103">
        <f t="shared" si="3"/>
        <v>10210284000</v>
      </c>
      <c r="K19" s="103">
        <f t="shared" si="3"/>
        <v>9383720000</v>
      </c>
      <c r="L19" s="103">
        <f t="shared" si="3"/>
        <v>8630462000</v>
      </c>
      <c r="M19" s="103">
        <f t="shared" si="3"/>
        <v>7883870000</v>
      </c>
      <c r="N19" s="103">
        <f t="shared" si="3"/>
        <v>7143944000</v>
      </c>
      <c r="O19" s="103">
        <f t="shared" si="3"/>
        <v>6444484000</v>
      </c>
    </row>
  </sheetData>
  <mergeCells count="4">
    <mergeCell ref="B15:E15"/>
    <mergeCell ref="B3:P3"/>
    <mergeCell ref="B2:P2"/>
    <mergeCell ref="B17:P17"/>
  </mergeCells>
  <hyperlinks>
    <hyperlink ref="B1" location="'08_RAB_Roll'!A1" display="◄ Prev. Pg" xr:uid="{00000000-0004-0000-0900-000000000000}"/>
    <hyperlink ref="C1" location="'Control Panel'!A1" display="◄◄◄ Control Panel" xr:uid="{00000000-0004-0000-0900-000001000000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6400"/>
  </sheetPr>
  <dimension ref="B1:O25"/>
  <sheetViews>
    <sheetView tabSelected="1" topLeftCell="A16" zoomScale="73" workbookViewId="0">
      <selection activeCell="E46" sqref="E46"/>
    </sheetView>
  </sheetViews>
  <sheetFormatPr defaultRowHeight="14.4" x14ac:dyDescent="0.3"/>
  <cols>
    <col min="1" max="1" width="2" customWidth="1"/>
    <col min="2" max="2" width="7.44140625" customWidth="1"/>
    <col min="3" max="3" width="65" bestFit="1" customWidth="1"/>
    <col min="4" max="4" width="5.109375" bestFit="1" customWidth="1"/>
    <col min="5" max="5" width="17.6640625" bestFit="1" customWidth="1"/>
    <col min="6" max="15" width="20.77734375" customWidth="1"/>
  </cols>
  <sheetData>
    <row r="1" spans="2:15" ht="13.05" customHeight="1" x14ac:dyDescent="0.3">
      <c r="B1" s="70" t="s">
        <v>0</v>
      </c>
      <c r="C1" s="70" t="s">
        <v>1</v>
      </c>
    </row>
    <row r="2" spans="2:15" ht="15.45" customHeight="1" x14ac:dyDescent="0.3">
      <c r="B2" s="143" t="s">
        <v>659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1"/>
    </row>
    <row r="3" spans="2:15" ht="19.95" customHeight="1" x14ac:dyDescent="0.3">
      <c r="B3" s="136" t="s">
        <v>646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</row>
    <row r="4" spans="2:15" ht="24" customHeight="1" x14ac:dyDescent="0.3">
      <c r="B4" s="12" t="s">
        <v>447</v>
      </c>
      <c r="C4" s="12" t="s">
        <v>448</v>
      </c>
      <c r="D4" s="12" t="s">
        <v>3</v>
      </c>
      <c r="E4" s="12" t="s">
        <v>449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5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5" ht="13.95" customHeight="1" x14ac:dyDescent="0.3">
      <c r="B6" s="142" t="s">
        <v>450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1"/>
    </row>
    <row r="7" spans="2:15" x14ac:dyDescent="0.3">
      <c r="B7" s="4" t="s">
        <v>451</v>
      </c>
      <c r="C7" s="2" t="s">
        <v>452</v>
      </c>
      <c r="D7" s="15" t="s">
        <v>298</v>
      </c>
      <c r="E7" s="15" t="s">
        <v>653</v>
      </c>
      <c r="F7" s="21">
        <f>'06_RAB Roll'!F10</f>
        <v>14321066000</v>
      </c>
      <c r="G7" s="21">
        <f>'06_RAB Roll'!G10</f>
        <v>14572511000</v>
      </c>
      <c r="H7" s="21">
        <f>'06_RAB Roll'!H10</f>
        <v>14777582000</v>
      </c>
      <c r="I7" s="21">
        <f>'06_RAB Roll'!I10</f>
        <v>14796279000</v>
      </c>
      <c r="J7" s="21">
        <f>'06_RAB Roll'!J10</f>
        <v>14812002000</v>
      </c>
      <c r="K7" s="21">
        <f>'06_RAB Roll'!K10</f>
        <v>14874591000</v>
      </c>
      <c r="L7" s="21">
        <f>'06_RAB Roll'!L10</f>
        <v>14919666000</v>
      </c>
      <c r="M7" s="21">
        <f>'06_RAB Roll'!M10</f>
        <v>14971407000</v>
      </c>
      <c r="N7" s="21">
        <f>'06_RAB Roll'!N10</f>
        <v>15046714000</v>
      </c>
      <c r="O7" s="21">
        <f>'06_RAB Roll'!O10</f>
        <v>15196854000</v>
      </c>
    </row>
    <row r="8" spans="2:15" x14ac:dyDescent="0.3">
      <c r="B8" s="4" t="s">
        <v>453</v>
      </c>
      <c r="C8" s="2" t="s">
        <v>423</v>
      </c>
      <c r="D8" s="15" t="s">
        <v>131</v>
      </c>
      <c r="E8" s="15" t="s">
        <v>653</v>
      </c>
      <c r="F8" s="19">
        <f>'06_RAB Roll'!F11</f>
        <v>0.2288</v>
      </c>
      <c r="G8" s="19">
        <f>'06_RAB Roll'!G11</f>
        <v>0.2288</v>
      </c>
      <c r="H8" s="19">
        <f>'06_RAB Roll'!H11</f>
        <v>0.2288</v>
      </c>
      <c r="I8" s="19">
        <f>'06_RAB Roll'!I11</f>
        <v>0.2288</v>
      </c>
      <c r="J8" s="19">
        <f>'06_RAB Roll'!J11</f>
        <v>0.2288</v>
      </c>
      <c r="K8" s="19">
        <f>'06_RAB Roll'!K11</f>
        <v>0.2288</v>
      </c>
      <c r="L8" s="19">
        <f>'06_RAB Roll'!L11</f>
        <v>0.2288</v>
      </c>
      <c r="M8" s="19">
        <f>'06_RAB Roll'!M11</f>
        <v>0.2288</v>
      </c>
      <c r="N8" s="19">
        <f>'06_RAB Roll'!N11</f>
        <v>0.2288</v>
      </c>
      <c r="O8" s="19">
        <f>'06_RAB Roll'!O11</f>
        <v>0.2288</v>
      </c>
    </row>
    <row r="9" spans="2:15" x14ac:dyDescent="0.3">
      <c r="B9" s="4" t="s">
        <v>454</v>
      </c>
      <c r="C9" s="37" t="s">
        <v>455</v>
      </c>
      <c r="D9" s="15" t="s">
        <v>298</v>
      </c>
      <c r="E9" s="15" t="s">
        <v>653</v>
      </c>
      <c r="F9" s="38">
        <f>'06_RAB Roll'!F12</f>
        <v>3276659900.8000002</v>
      </c>
      <c r="G9" s="38">
        <f>'06_RAB Roll'!G12</f>
        <v>3334190516.8000002</v>
      </c>
      <c r="H9" s="38">
        <f>'06_RAB Roll'!H12</f>
        <v>3381110761.5999999</v>
      </c>
      <c r="I9" s="38">
        <f>'06_RAB Roll'!I12</f>
        <v>3385388635.2000003</v>
      </c>
      <c r="J9" s="38">
        <f>'06_RAB Roll'!J12</f>
        <v>3388986057.5999999</v>
      </c>
      <c r="K9" s="38">
        <f>'06_RAB Roll'!K12</f>
        <v>3403306420.8000002</v>
      </c>
      <c r="L9" s="38">
        <f>'06_RAB Roll'!L12</f>
        <v>3413619580.8000002</v>
      </c>
      <c r="M9" s="38">
        <f>'06_RAB Roll'!M12</f>
        <v>3425457921.5999999</v>
      </c>
      <c r="N9" s="38">
        <f>'06_RAB Roll'!N12</f>
        <v>3442688163.2000003</v>
      </c>
      <c r="O9" s="38">
        <f>'06_RAB Roll'!O12</f>
        <v>3477040195.2000003</v>
      </c>
    </row>
    <row r="11" spans="2:15" ht="13.95" customHeight="1" x14ac:dyDescent="0.3">
      <c r="B11" s="142" t="s">
        <v>456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2:15" x14ac:dyDescent="0.3">
      <c r="B12" s="4" t="s">
        <v>457</v>
      </c>
      <c r="C12" s="37" t="s">
        <v>458</v>
      </c>
      <c r="D12" s="15" t="s">
        <v>298</v>
      </c>
      <c r="E12" s="15" t="s">
        <v>652</v>
      </c>
      <c r="F12" s="21">
        <f>'07_Depreciation'!F15</f>
        <v>1017868000</v>
      </c>
      <c r="G12" s="21">
        <f>'07_Depreciation'!G15</f>
        <v>1009242000</v>
      </c>
      <c r="H12" s="21">
        <f>'07_Depreciation'!H15</f>
        <v>1000616000</v>
      </c>
      <c r="I12" s="21">
        <f>'07_Depreciation'!I15</f>
        <v>991990000</v>
      </c>
      <c r="J12" s="21">
        <f>'07_Depreciation'!J15</f>
        <v>826564000.00000012</v>
      </c>
      <c r="K12" s="21">
        <f>'07_Depreciation'!K15</f>
        <v>753258000</v>
      </c>
      <c r="L12" s="21">
        <f>'07_Depreciation'!L15</f>
        <v>746592000</v>
      </c>
      <c r="M12" s="21">
        <f>'07_Depreciation'!M15</f>
        <v>739926000</v>
      </c>
      <c r="N12" s="21">
        <f>'07_Depreciation'!N15</f>
        <v>699460000</v>
      </c>
      <c r="O12" s="21">
        <f>'07_Depreciation'!O15</f>
        <v>590260000</v>
      </c>
    </row>
    <row r="14" spans="2:15" ht="13.95" customHeight="1" x14ac:dyDescent="0.3">
      <c r="B14" s="142" t="s">
        <v>459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1"/>
    </row>
    <row r="15" spans="2:15" x14ac:dyDescent="0.3">
      <c r="B15" s="4" t="s">
        <v>460</v>
      </c>
      <c r="C15" s="37" t="s">
        <v>461</v>
      </c>
      <c r="D15" s="15" t="s">
        <v>298</v>
      </c>
      <c r="E15" s="15" t="s">
        <v>462</v>
      </c>
      <c r="F15" s="21">
        <f>'05_OpEx OM'!F39</f>
        <v>2270000000</v>
      </c>
      <c r="G15" s="21">
        <f>'05_OpEx OM'!G39</f>
        <v>2270000000</v>
      </c>
      <c r="H15" s="21">
        <f>'05_OpEx OM'!H39</f>
        <v>2270000000</v>
      </c>
      <c r="I15" s="21">
        <f>'05_OpEx OM'!I39</f>
        <v>2270000000</v>
      </c>
      <c r="J15" s="21">
        <f>'05_OpEx OM'!J39</f>
        <v>2270000000</v>
      </c>
      <c r="K15" s="21">
        <f>'05_OpEx OM'!K39</f>
        <v>2270000000</v>
      </c>
      <c r="L15" s="21">
        <f>'05_OpEx OM'!L39</f>
        <v>2270000000</v>
      </c>
      <c r="M15" s="21">
        <f>'05_OpEx OM'!M39</f>
        <v>2270000000</v>
      </c>
      <c r="N15" s="21">
        <f>'05_OpEx OM'!N39</f>
        <v>2270000000</v>
      </c>
      <c r="O15" s="21">
        <f>'05_OpEx OM'!O39</f>
        <v>2270000000</v>
      </c>
    </row>
    <row r="17" spans="2:15" ht="13.95" customHeight="1" x14ac:dyDescent="0.3">
      <c r="B17" s="113" t="s">
        <v>463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1"/>
    </row>
    <row r="18" spans="2:15" x14ac:dyDescent="0.3">
      <c r="B18" s="39" t="s">
        <v>464</v>
      </c>
      <c r="C18" s="37" t="s">
        <v>465</v>
      </c>
      <c r="D18" s="15" t="s">
        <v>298</v>
      </c>
      <c r="E18" s="15" t="s">
        <v>654</v>
      </c>
      <c r="F18" s="40">
        <f>'02_PassThrough'!F16</f>
        <v>136775898000</v>
      </c>
      <c r="G18" s="40">
        <f>'02_PassThrough'!G16</f>
        <v>153343638000</v>
      </c>
      <c r="H18" s="40">
        <f>'02_PassThrough'!H16</f>
        <v>172255406400</v>
      </c>
      <c r="I18" s="40">
        <f>'02_PassThrough'!I16</f>
        <v>193775059800</v>
      </c>
      <c r="J18" s="40">
        <f>'02_PassThrough'!J16</f>
        <v>218289178799.99997</v>
      </c>
      <c r="K18" s="40">
        <f>'02_PassThrough'!K16</f>
        <v>244387664639.99997</v>
      </c>
      <c r="L18" s="40">
        <f>'02_PassThrough'!L16</f>
        <v>274590041040</v>
      </c>
      <c r="M18" s="40">
        <f>'02_PassThrough'!M16</f>
        <v>306687276000</v>
      </c>
      <c r="N18" s="40">
        <f>'02_PassThrough'!N16</f>
        <v>341685706319.99994</v>
      </c>
      <c r="O18" s="40">
        <f>'02_PassThrough'!O16</f>
        <v>381871680119.99994</v>
      </c>
    </row>
    <row r="20" spans="2:15" ht="13.95" customHeight="1" x14ac:dyDescent="0.3">
      <c r="B20" s="142" t="s">
        <v>466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1"/>
    </row>
    <row r="21" spans="2:15" x14ac:dyDescent="0.3">
      <c r="B21" s="4" t="s">
        <v>467</v>
      </c>
      <c r="C21" s="2" t="s">
        <v>468</v>
      </c>
      <c r="D21" s="15" t="s">
        <v>298</v>
      </c>
      <c r="E21" s="15" t="s">
        <v>397</v>
      </c>
      <c r="F21" s="64">
        <f>(F9+F12+F15)*'01_Macro Parameters'!H31</f>
        <v>98467918.511999995</v>
      </c>
      <c r="G21" s="64">
        <f>(G9+G12+G15)*'01_Macro Parameters'!I31</f>
        <v>99201487.752000004</v>
      </c>
      <c r="H21" s="64">
        <f>(H9+H12+H15)*'01_Macro Parameters'!J31</f>
        <v>99775901.423999995</v>
      </c>
      <c r="I21" s="64">
        <f>(I9+I12+I15)*'01_Macro Parameters'!K31</f>
        <v>99710679.528000012</v>
      </c>
      <c r="J21" s="64">
        <f>(J9+J12+J15)*'01_Macro Parameters'!L31</f>
        <v>97283250.864000008</v>
      </c>
      <c r="K21" s="64">
        <f>(K9+K12+K15)*'01_Macro Parameters'!M31</f>
        <v>96398466.312000006</v>
      </c>
      <c r="L21" s="64">
        <f>(L9+L12+L15)*'01_Macro Parameters'!N31</f>
        <v>96453173.711999997</v>
      </c>
      <c r="M21" s="64">
        <f>(M9+M12+M15)*'01_Macro Parameters'!O31</f>
        <v>96530758.824000001</v>
      </c>
      <c r="N21" s="64">
        <f>(N9+N12+N15)*'01_Macro Parameters'!P31</f>
        <v>96182222.448000014</v>
      </c>
      <c r="O21" s="64">
        <f>(O9+O12+O15)*'01_Macro Parameters'!Q31</f>
        <v>95059502.928000003</v>
      </c>
    </row>
    <row r="22" spans="2:15" ht="15" thickBot="1" x14ac:dyDescent="0.35"/>
    <row r="23" spans="2:15" ht="22.05" customHeight="1" thickBot="1" x14ac:dyDescent="0.35">
      <c r="B23" s="146" t="s">
        <v>469</v>
      </c>
      <c r="C23" s="110"/>
      <c r="D23" s="111"/>
      <c r="E23" s="41"/>
      <c r="F23" s="41">
        <f t="shared" ref="F23:O23" si="0">F9+F12+F15+F18+F21</f>
        <v>143438893819.31198</v>
      </c>
      <c r="G23" s="41">
        <f t="shared" si="0"/>
        <v>160056272004.552</v>
      </c>
      <c r="H23" s="41">
        <f t="shared" si="0"/>
        <v>179006909063.02402</v>
      </c>
      <c r="I23" s="41">
        <f t="shared" si="0"/>
        <v>200522149114.72803</v>
      </c>
      <c r="J23" s="41">
        <f t="shared" si="0"/>
        <v>224872012108.46399</v>
      </c>
      <c r="K23" s="41">
        <f t="shared" si="0"/>
        <v>250910627527.11197</v>
      </c>
      <c r="L23" s="41">
        <f t="shared" si="0"/>
        <v>281116705794.51196</v>
      </c>
      <c r="M23" s="41">
        <f t="shared" si="0"/>
        <v>313219190680.42395</v>
      </c>
      <c r="N23" s="41">
        <f t="shared" si="0"/>
        <v>348194036705.64795</v>
      </c>
      <c r="O23" s="41">
        <f t="shared" si="0"/>
        <v>388304039818.12793</v>
      </c>
    </row>
    <row r="25" spans="2:15" ht="7.95" customHeight="1" x14ac:dyDescent="0.3"/>
  </sheetData>
  <mergeCells count="8">
    <mergeCell ref="B2:O2"/>
    <mergeCell ref="B11:O11"/>
    <mergeCell ref="B3:O3"/>
    <mergeCell ref="B20:O20"/>
    <mergeCell ref="B14:O14"/>
    <mergeCell ref="B17:O17"/>
    <mergeCell ref="B23:D23"/>
    <mergeCell ref="B6:O6"/>
  </mergeCells>
  <hyperlinks>
    <hyperlink ref="B1" location="'10_WACC_Return'!A1" display="◄ Prev. Pg" xr:uid="{00000000-0004-0000-0A00-000000000000}"/>
    <hyperlink ref="C1" location="'Control Panel'!A1" display="◄◄◄ Control Panel" xr:uid="{00000000-0004-0000-0A00-000001000000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B6C8-E0BC-4DB4-92E4-53DA2147E8A7}">
  <sheetPr>
    <tabColor theme="1"/>
  </sheetPr>
  <dimension ref="B1:O16"/>
  <sheetViews>
    <sheetView showGridLines="0" zoomScale="85" zoomScaleNormal="85" workbookViewId="0">
      <selection activeCell="G22" sqref="G22"/>
    </sheetView>
  </sheetViews>
  <sheetFormatPr defaultRowHeight="14.4" x14ac:dyDescent="0.3"/>
  <cols>
    <col min="1" max="1" width="2" customWidth="1"/>
    <col min="2" max="2" width="8.44140625" bestFit="1" customWidth="1"/>
    <col min="3" max="3" width="38.88671875" bestFit="1" customWidth="1"/>
    <col min="4" max="5" width="12" customWidth="1"/>
    <col min="6" max="15" width="16" customWidth="1"/>
  </cols>
  <sheetData>
    <row r="1" spans="2:15" ht="13.05" customHeight="1" x14ac:dyDescent="0.3">
      <c r="B1" s="107" t="s">
        <v>0</v>
      </c>
      <c r="C1" s="107" t="s">
        <v>1</v>
      </c>
    </row>
    <row r="2" spans="2:15" ht="15.45" customHeight="1" x14ac:dyDescent="0.3">
      <c r="B2" s="109" t="s">
        <v>663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1"/>
    </row>
    <row r="3" spans="2:15" ht="24" customHeight="1" x14ac:dyDescent="0.3">
      <c r="B3" s="112" t="s">
        <v>657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</row>
    <row r="4" spans="2:15" ht="24" customHeight="1" x14ac:dyDescent="0.3">
      <c r="B4" s="108" t="s">
        <v>2</v>
      </c>
      <c r="C4" s="108" t="s">
        <v>658</v>
      </c>
      <c r="D4" s="108" t="s">
        <v>3</v>
      </c>
      <c r="E4" s="108" t="s">
        <v>4</v>
      </c>
      <c r="F4" s="108" t="s">
        <v>5</v>
      </c>
      <c r="G4" s="108" t="s">
        <v>6</v>
      </c>
      <c r="H4" s="108" t="s">
        <v>7</v>
      </c>
      <c r="I4" s="108" t="s">
        <v>8</v>
      </c>
      <c r="J4" s="108" t="s">
        <v>9</v>
      </c>
      <c r="K4" s="108" t="s">
        <v>10</v>
      </c>
      <c r="L4" s="108" t="s">
        <v>11</v>
      </c>
      <c r="M4" s="108" t="s">
        <v>12</v>
      </c>
      <c r="N4" s="108" t="s">
        <v>13</v>
      </c>
      <c r="O4" s="108" t="s">
        <v>14</v>
      </c>
    </row>
    <row r="5" spans="2:15" x14ac:dyDescent="0.3">
      <c r="B5" s="167"/>
      <c r="C5" s="167"/>
      <c r="D5" s="167"/>
      <c r="E5" s="167"/>
      <c r="F5" s="168" t="s">
        <v>15</v>
      </c>
      <c r="G5" s="168" t="s">
        <v>16</v>
      </c>
      <c r="H5" s="168" t="s">
        <v>16</v>
      </c>
      <c r="I5" s="168" t="s">
        <v>16</v>
      </c>
      <c r="J5" s="168" t="s">
        <v>16</v>
      </c>
      <c r="K5" s="168" t="s">
        <v>16</v>
      </c>
      <c r="L5" s="168" t="s">
        <v>16</v>
      </c>
      <c r="M5" s="168" t="s">
        <v>16</v>
      </c>
      <c r="N5" s="168" t="s">
        <v>16</v>
      </c>
      <c r="O5" s="168" t="s">
        <v>16</v>
      </c>
    </row>
    <row r="6" spans="2:15" ht="18" customHeight="1" x14ac:dyDescent="0.3">
      <c r="B6" s="169" t="s">
        <v>470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1"/>
    </row>
    <row r="7" spans="2:15" ht="15" thickBot="1" x14ac:dyDescent="0.35">
      <c r="B7" s="172" t="s">
        <v>471</v>
      </c>
      <c r="C7" s="173" t="s">
        <v>655</v>
      </c>
      <c r="D7" s="173"/>
      <c r="E7" s="173"/>
      <c r="F7" s="104">
        <f>'02_PassThrough'!F7</f>
        <v>1227240</v>
      </c>
      <c r="G7" s="104">
        <f>'02_PassThrough'!G7</f>
        <v>1288602</v>
      </c>
      <c r="H7" s="104">
        <f>'02_PassThrough'!H7</f>
        <v>1349964</v>
      </c>
      <c r="I7" s="104">
        <f>'02_PassThrough'!I7</f>
        <v>1411326</v>
      </c>
      <c r="J7" s="104">
        <f>'02_PassThrough'!J7</f>
        <v>1484960.4</v>
      </c>
      <c r="K7" s="104">
        <f>'02_PassThrough'!K7</f>
        <v>1558594.7999999998</v>
      </c>
      <c r="L7" s="104">
        <f>'02_PassThrough'!L7</f>
        <v>1638365.4</v>
      </c>
      <c r="M7" s="104">
        <f>'02_PassThrough'!M7</f>
        <v>1718136</v>
      </c>
      <c r="N7" s="104">
        <f>'02_PassThrough'!N7</f>
        <v>1804042.7999999998</v>
      </c>
      <c r="O7" s="174">
        <f>'02_PassThrough'!O7</f>
        <v>1896085.7999999998</v>
      </c>
    </row>
    <row r="8" spans="2:15" ht="28.2" thickBot="1" x14ac:dyDescent="0.35">
      <c r="B8" s="175" t="s">
        <v>472</v>
      </c>
      <c r="C8" s="176" t="s">
        <v>473</v>
      </c>
      <c r="D8" s="177"/>
      <c r="E8" s="177"/>
      <c r="F8" s="105">
        <f>IFERROR('08_Revenue Requirement'!F23/(F7*1000),0)</f>
        <v>116.87925248469084</v>
      </c>
      <c r="G8" s="105">
        <f>IFERROR('08_Revenue Requirement'!G23/(G7*1000),0)</f>
        <v>124.20923761142075</v>
      </c>
      <c r="H8" s="105">
        <f>IFERROR('08_Revenue Requirement'!H23/(H7*1000),0)</f>
        <v>132.6012464502935</v>
      </c>
      <c r="I8" s="105">
        <f>IFERROR('08_Revenue Requirement'!I23/(I7*1000),0)</f>
        <v>142.08067385900071</v>
      </c>
      <c r="J8" s="105">
        <f>IFERROR('08_Revenue Requirement'!J23/(J7*1000),0)</f>
        <v>151.43300259620659</v>
      </c>
      <c r="K8" s="105">
        <f>IFERROR('08_Revenue Requirement'!K23/(K7*1000),0)</f>
        <v>160.98515632614198</v>
      </c>
      <c r="L8" s="105">
        <f>IFERROR('08_Revenue Requirement'!L23/(L7*1000),0)</f>
        <v>171.58364415808094</v>
      </c>
      <c r="M8" s="105">
        <f>IFERROR('08_Revenue Requirement'!M23/(M7*1000),0)</f>
        <v>182.30174484465954</v>
      </c>
      <c r="N8" s="105">
        <f>IFERROR('08_Revenue Requirement'!N23/(N7*1000),0)</f>
        <v>193.00763635189142</v>
      </c>
      <c r="O8" s="178">
        <f>IFERROR('08_Revenue Requirement'!O23/(O7*1000),0)</f>
        <v>204.79244125879111</v>
      </c>
    </row>
    <row r="9" spans="2:15" ht="16.05" customHeight="1" x14ac:dyDescent="0.3">
      <c r="B9" s="175" t="s">
        <v>474</v>
      </c>
      <c r="C9" s="179" t="s">
        <v>475</v>
      </c>
      <c r="D9" s="180"/>
      <c r="E9" s="180"/>
      <c r="F9" s="106">
        <f>IFERROR('02_PassThrough'!F16/(F7*1000),0)</f>
        <v>111.45</v>
      </c>
      <c r="G9" s="106">
        <f>IFERROR('02_PassThrough'!G16/(G7*1000),0)</f>
        <v>119</v>
      </c>
      <c r="H9" s="106">
        <f>IFERROR('02_PassThrough'!H16/(H7*1000),0)</f>
        <v>127.6</v>
      </c>
      <c r="I9" s="106">
        <f>IFERROR('02_PassThrough'!I16/(I7*1000),0)</f>
        <v>137.30000000000001</v>
      </c>
      <c r="J9" s="106">
        <f>IFERROR('02_PassThrough'!J16/(J7*1000),0)</f>
        <v>146.99999999999997</v>
      </c>
      <c r="K9" s="106">
        <f>IFERROR('02_PassThrough'!K16/(K7*1000),0)</f>
        <v>156.80000000000001</v>
      </c>
      <c r="L9" s="106">
        <f>IFERROR('02_PassThrough'!L16/(L7*1000),0)</f>
        <v>167.6</v>
      </c>
      <c r="M9" s="106">
        <f>IFERROR('02_PassThrough'!M16/(M7*1000),0)</f>
        <v>178.5</v>
      </c>
      <c r="N9" s="106">
        <f>IFERROR('02_PassThrough'!N16/(N7*1000),0)</f>
        <v>189.39999999999998</v>
      </c>
      <c r="O9" s="181">
        <f>IFERROR('02_PassThrough'!O16/(O7*1000),0)</f>
        <v>201.4</v>
      </c>
    </row>
    <row r="10" spans="2:15" ht="16.05" customHeight="1" x14ac:dyDescent="0.3">
      <c r="B10" s="182" t="s">
        <v>476</v>
      </c>
      <c r="C10" s="183" t="s">
        <v>656</v>
      </c>
      <c r="D10" s="184"/>
      <c r="E10" s="184"/>
      <c r="F10" s="185">
        <f>IFERROR(('08_Revenue Requirement'!F9+'08_Revenue Requirement'!F12+'08_Revenue Requirement'!F15+'08_Revenue Requirement'!F21)/(F7*1000),0)</f>
        <v>5.429252484690851</v>
      </c>
      <c r="G10" s="185">
        <f>IFERROR(('08_Revenue Requirement'!G9+'08_Revenue Requirement'!G12+'08_Revenue Requirement'!G15+'08_Revenue Requirement'!G21)/(G7*1000),0)</f>
        <v>5.2092376114207486</v>
      </c>
      <c r="H10" s="185">
        <f>IFERROR(('08_Revenue Requirement'!H9+'08_Revenue Requirement'!H12+'08_Revenue Requirement'!H15+'08_Revenue Requirement'!H21)/(H7*1000),0)</f>
        <v>5.0012464502934897</v>
      </c>
      <c r="I10" s="185">
        <f>IFERROR(('08_Revenue Requirement'!I9+'08_Revenue Requirement'!I12+'08_Revenue Requirement'!I15+'08_Revenue Requirement'!I21)/(I7*1000),0)</f>
        <v>4.780673859000685</v>
      </c>
      <c r="J10" s="185">
        <f>IFERROR(('08_Revenue Requirement'!J9+'08_Revenue Requirement'!J12+'08_Revenue Requirement'!J15+'08_Revenue Requirement'!J21)/(J7*1000),0)</f>
        <v>4.433002596206606</v>
      </c>
      <c r="K10" s="185">
        <f>IFERROR(('08_Revenue Requirement'!K9+'08_Revenue Requirement'!K12+'08_Revenue Requirement'!K15+'08_Revenue Requirement'!K21)/(K7*1000),0)</f>
        <v>4.1851563261419846</v>
      </c>
      <c r="L10" s="185">
        <f>IFERROR(('08_Revenue Requirement'!L9+'08_Revenue Requirement'!L12+'08_Revenue Requirement'!L15+'08_Revenue Requirement'!L21)/(L7*1000),0)</f>
        <v>3.9836441580809749</v>
      </c>
      <c r="M10" s="185">
        <f>IFERROR(('08_Revenue Requirement'!M9+'08_Revenue Requirement'!M12+'08_Revenue Requirement'!M15+'08_Revenue Requirement'!M21)/(M7*1000),0)</f>
        <v>3.8017448446595616</v>
      </c>
      <c r="N10" s="185">
        <f>IFERROR(('08_Revenue Requirement'!N9+'08_Revenue Requirement'!N12+'08_Revenue Requirement'!N15+'08_Revenue Requirement'!N21)/(N7*1000),0)</f>
        <v>3.6076363518914305</v>
      </c>
      <c r="O10" s="186">
        <f>IFERROR(('08_Revenue Requirement'!O9+'08_Revenue Requirement'!O12+'08_Revenue Requirement'!O15+'08_Revenue Requirement'!O21)/(O7*1000),0)</f>
        <v>3.3924412587911381</v>
      </c>
    </row>
    <row r="13" spans="2:15" ht="18" customHeight="1" thickBot="1" x14ac:dyDescent="0.35">
      <c r="B13" s="158" t="s">
        <v>477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2:15" ht="19.95" customHeight="1" thickBot="1" x14ac:dyDescent="0.35">
      <c r="B14" s="159" t="s">
        <v>478</v>
      </c>
      <c r="C14" s="114"/>
      <c r="D14" s="114"/>
      <c r="E14" s="114"/>
      <c r="F14" s="160">
        <f>IFERROR(AVERAGE(F8,G8,H8,I8,J8),0)</f>
        <v>133.44068260032248</v>
      </c>
      <c r="G14" s="161"/>
      <c r="H14" s="161"/>
      <c r="I14" s="161"/>
      <c r="J14" s="161"/>
      <c r="K14" s="161"/>
      <c r="L14" s="161"/>
      <c r="M14" s="161"/>
      <c r="N14" s="161"/>
      <c r="O14" s="162"/>
    </row>
    <row r="15" spans="2:15" ht="19.95" customHeight="1" thickBot="1" x14ac:dyDescent="0.35">
      <c r="B15" s="153" t="s">
        <v>479</v>
      </c>
      <c r="C15" s="114"/>
      <c r="D15" s="114"/>
      <c r="E15" s="114"/>
      <c r="F15" s="155">
        <f>IFERROR(AVERAGE(K8,L8,M8,N8,O8),0)</f>
        <v>182.534124587913</v>
      </c>
      <c r="G15" s="156"/>
      <c r="H15" s="156"/>
      <c r="I15" s="156"/>
      <c r="J15" s="156"/>
      <c r="K15" s="156"/>
      <c r="L15" s="156"/>
      <c r="M15" s="156"/>
      <c r="N15" s="156"/>
      <c r="O15" s="157"/>
    </row>
    <row r="16" spans="2:15" ht="22.05" customHeight="1" thickBot="1" x14ac:dyDescent="0.35">
      <c r="B16" s="154" t="s">
        <v>480</v>
      </c>
      <c r="C16" s="114"/>
      <c r="D16" s="114"/>
      <c r="E16" s="114"/>
      <c r="F16" s="150">
        <f>IFERROR(AVERAGE(F8,G8,H8,I8,J8,K8,L8,M8,N8,O8),0)</f>
        <v>157.98740359411775</v>
      </c>
      <c r="G16" s="151"/>
      <c r="H16" s="151"/>
      <c r="I16" s="151"/>
      <c r="J16" s="151"/>
      <c r="K16" s="151"/>
      <c r="L16" s="151"/>
      <c r="M16" s="151"/>
      <c r="N16" s="151"/>
      <c r="O16" s="152"/>
    </row>
  </sheetData>
  <mergeCells count="10">
    <mergeCell ref="B16:E16"/>
    <mergeCell ref="F16:O16"/>
    <mergeCell ref="B6:O6"/>
    <mergeCell ref="B13:O13"/>
    <mergeCell ref="B14:E14"/>
    <mergeCell ref="F14:O14"/>
    <mergeCell ref="B15:E15"/>
    <mergeCell ref="F15:O15"/>
    <mergeCell ref="B2:O2"/>
    <mergeCell ref="B3:O3"/>
  </mergeCells>
  <hyperlinks>
    <hyperlink ref="B1" location="'12_DUOS_Tariff'!A1" display="◄ Prev. Pg" xr:uid="{707A52AC-E800-44EB-AFC6-40844E4D4CAB}"/>
    <hyperlink ref="C1" location="'Control Panel'!A1" display="◄◄◄ Control Panel" xr:uid="{69998ACB-3A0C-4AB2-92AD-2C4B4E46400C}"/>
  </hyperlinks>
  <pageMargins left="0.75" right="0.75" top="1" bottom="1" header="0.5" footer="0.5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1A7A1A"/>
  </sheetPr>
  <dimension ref="B1:N38"/>
  <sheetViews>
    <sheetView zoomScale="88" workbookViewId="0">
      <selection activeCell="C1" sqref="B1:C1"/>
    </sheetView>
  </sheetViews>
  <sheetFormatPr defaultRowHeight="14.4" x14ac:dyDescent="0.3"/>
  <cols>
    <col min="1" max="1" width="2" customWidth="1"/>
    <col min="2" max="2" width="7.44140625" customWidth="1"/>
    <col min="3" max="3" width="40" customWidth="1"/>
    <col min="4" max="4" width="12" customWidth="1"/>
    <col min="5" max="14" width="14" customWidth="1"/>
  </cols>
  <sheetData>
    <row r="1" spans="2:14" ht="13.05" customHeight="1" x14ac:dyDescent="0.3">
      <c r="B1" s="70" t="s">
        <v>0</v>
      </c>
      <c r="C1" s="70" t="s">
        <v>1</v>
      </c>
    </row>
    <row r="2" spans="2:14" ht="15.45" customHeight="1" x14ac:dyDescent="0.3">
      <c r="B2" s="143" t="s">
        <v>481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1"/>
    </row>
    <row r="3" spans="2:14" ht="30" customHeight="1" x14ac:dyDescent="0.3">
      <c r="B3" s="164" t="s">
        <v>482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1"/>
    </row>
    <row r="4" spans="2:14" ht="24" customHeight="1" x14ac:dyDescent="0.3">
      <c r="B4" s="44" t="s">
        <v>2</v>
      </c>
      <c r="C4" s="44" t="s">
        <v>124</v>
      </c>
      <c r="D4" s="44" t="s">
        <v>3</v>
      </c>
      <c r="E4" s="42" t="s">
        <v>5</v>
      </c>
      <c r="F4" s="42" t="s">
        <v>6</v>
      </c>
      <c r="G4" s="42" t="s">
        <v>7</v>
      </c>
      <c r="H4" s="42" t="s">
        <v>8</v>
      </c>
      <c r="I4" s="42" t="s">
        <v>9</v>
      </c>
      <c r="J4" s="43" t="s">
        <v>10</v>
      </c>
      <c r="K4" s="43" t="s">
        <v>11</v>
      </c>
      <c r="L4" s="43" t="s">
        <v>12</v>
      </c>
      <c r="M4" s="43" t="s">
        <v>13</v>
      </c>
      <c r="N4" s="43" t="s">
        <v>14</v>
      </c>
    </row>
    <row r="5" spans="2:14" ht="13.95" customHeight="1" x14ac:dyDescent="0.3">
      <c r="B5" s="142" t="s">
        <v>483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1"/>
    </row>
    <row r="6" spans="2:14" ht="36" customHeight="1" x14ac:dyDescent="0.3">
      <c r="B6" s="165" t="s">
        <v>484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1"/>
    </row>
    <row r="7" spans="2:14" x14ac:dyDescent="0.3">
      <c r="B7" s="4" t="s">
        <v>485</v>
      </c>
      <c r="C7" s="9" t="s">
        <v>486</v>
      </c>
      <c r="D7" s="15" t="s">
        <v>487</v>
      </c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2:14" ht="25.95" customHeight="1" x14ac:dyDescent="0.3">
      <c r="B8" s="4" t="s">
        <v>488</v>
      </c>
      <c r="C8" s="9" t="s">
        <v>489</v>
      </c>
      <c r="D8" s="15" t="s">
        <v>487</v>
      </c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2:14" x14ac:dyDescent="0.3">
      <c r="B9" s="4" t="s">
        <v>490</v>
      </c>
      <c r="C9" s="9" t="s">
        <v>491</v>
      </c>
      <c r="D9" s="15" t="s">
        <v>492</v>
      </c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x14ac:dyDescent="0.3">
      <c r="B10" s="4" t="s">
        <v>493</v>
      </c>
      <c r="C10" s="9" t="s">
        <v>494</v>
      </c>
      <c r="D10" s="15" t="s">
        <v>131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x14ac:dyDescent="0.3">
      <c r="B11" s="4" t="s">
        <v>495</v>
      </c>
      <c r="C11" s="9" t="s">
        <v>496</v>
      </c>
      <c r="D11" s="15" t="s">
        <v>173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x14ac:dyDescent="0.3">
      <c r="B12" s="4" t="s">
        <v>497</v>
      </c>
      <c r="C12" s="9" t="s">
        <v>498</v>
      </c>
      <c r="D12" s="15" t="s">
        <v>499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2:14" x14ac:dyDescent="0.3">
      <c r="B13" s="4" t="s">
        <v>500</v>
      </c>
      <c r="C13" s="9" t="s">
        <v>501</v>
      </c>
      <c r="D13" s="15" t="s">
        <v>298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2:14" x14ac:dyDescent="0.3">
      <c r="B14" s="4" t="s">
        <v>502</v>
      </c>
      <c r="C14" s="9" t="s">
        <v>503</v>
      </c>
      <c r="D14" s="15" t="s">
        <v>504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2:14" x14ac:dyDescent="0.3">
      <c r="B15" s="4" t="s">
        <v>505</v>
      </c>
      <c r="C15" s="9" t="s">
        <v>506</v>
      </c>
      <c r="D15" s="15" t="s">
        <v>298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x14ac:dyDescent="0.3">
      <c r="B16" s="4" t="s">
        <v>507</v>
      </c>
      <c r="C16" s="9" t="s">
        <v>508</v>
      </c>
      <c r="D16" s="15" t="s">
        <v>17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4" x14ac:dyDescent="0.3">
      <c r="B17" s="4" t="s">
        <v>509</v>
      </c>
      <c r="C17" s="9" t="s">
        <v>510</v>
      </c>
      <c r="D17" s="15" t="s">
        <v>298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4" x14ac:dyDescent="0.3">
      <c r="B18" s="4" t="s">
        <v>511</v>
      </c>
      <c r="C18" s="9" t="s">
        <v>512</v>
      </c>
      <c r="D18" s="15" t="s">
        <v>298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 x14ac:dyDescent="0.3">
      <c r="B19" s="4" t="s">
        <v>513</v>
      </c>
      <c r="C19" s="9" t="s">
        <v>514</v>
      </c>
      <c r="D19" s="15" t="s">
        <v>131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 x14ac:dyDescent="0.3">
      <c r="B20" s="4" t="s">
        <v>515</v>
      </c>
      <c r="C20" s="9" t="s">
        <v>516</v>
      </c>
      <c r="D20" s="15" t="s">
        <v>191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2:14" x14ac:dyDescent="0.3">
      <c r="B21" s="4" t="s">
        <v>517</v>
      </c>
      <c r="C21" s="9" t="s">
        <v>518</v>
      </c>
      <c r="D21" s="15" t="s">
        <v>519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3" spans="2:14" ht="13.95" customHeight="1" x14ac:dyDescent="0.3">
      <c r="B23" s="142" t="s">
        <v>520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</row>
    <row r="24" spans="2:14" ht="24" customHeight="1" x14ac:dyDescent="0.3">
      <c r="B24" s="166" t="s">
        <v>521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</row>
    <row r="25" spans="2:14" x14ac:dyDescent="0.3">
      <c r="B25" s="4" t="s">
        <v>77</v>
      </c>
      <c r="C25" s="2" t="s">
        <v>522</v>
      </c>
      <c r="D25" s="15" t="s">
        <v>131</v>
      </c>
      <c r="E25" s="17">
        <v>0.28000000000000003</v>
      </c>
      <c r="F25" s="17">
        <v>0.28000000000000003</v>
      </c>
      <c r="G25" s="17">
        <v>0.28000000000000003</v>
      </c>
      <c r="H25" s="17">
        <v>0.28000000000000003</v>
      </c>
      <c r="I25" s="17">
        <v>0.28000000000000003</v>
      </c>
      <c r="J25" s="17">
        <v>0.28000000000000003</v>
      </c>
      <c r="K25" s="17">
        <v>0.28000000000000003</v>
      </c>
      <c r="L25" s="17">
        <v>0.28000000000000003</v>
      </c>
      <c r="M25" s="17">
        <v>0.28000000000000003</v>
      </c>
      <c r="N25" s="17">
        <v>0.28000000000000003</v>
      </c>
    </row>
    <row r="26" spans="2:14" x14ac:dyDescent="0.3">
      <c r="B26" s="4" t="s">
        <v>81</v>
      </c>
      <c r="C26" s="2" t="s">
        <v>523</v>
      </c>
      <c r="D26" s="15" t="s">
        <v>499</v>
      </c>
      <c r="E26" s="21">
        <f t="shared" ref="E26:N26" si="0">E12</f>
        <v>0</v>
      </c>
      <c r="F26" s="21">
        <f t="shared" si="0"/>
        <v>0</v>
      </c>
      <c r="G26" s="21">
        <f t="shared" si="0"/>
        <v>0</v>
      </c>
      <c r="H26" s="21">
        <f t="shared" si="0"/>
        <v>0</v>
      </c>
      <c r="I26" s="21">
        <f t="shared" si="0"/>
        <v>0</v>
      </c>
      <c r="J26" s="21">
        <f t="shared" si="0"/>
        <v>0</v>
      </c>
      <c r="K26" s="21">
        <f t="shared" si="0"/>
        <v>0</v>
      </c>
      <c r="L26" s="21">
        <f t="shared" si="0"/>
        <v>0</v>
      </c>
      <c r="M26" s="21">
        <f t="shared" si="0"/>
        <v>0</v>
      </c>
      <c r="N26" s="21">
        <f t="shared" si="0"/>
        <v>0</v>
      </c>
    </row>
    <row r="27" spans="2:14" x14ac:dyDescent="0.3">
      <c r="B27" s="4" t="s">
        <v>84</v>
      </c>
      <c r="C27" s="2" t="s">
        <v>524</v>
      </c>
      <c r="D27" s="15" t="s">
        <v>525</v>
      </c>
      <c r="E27" s="45">
        <f t="shared" ref="E27:N27" si="1">IFERROR(E25*(1+E25)^E26/((1+E25)^E26-1),0)</f>
        <v>0</v>
      </c>
      <c r="F27" s="45">
        <f t="shared" si="1"/>
        <v>0</v>
      </c>
      <c r="G27" s="45">
        <f t="shared" si="1"/>
        <v>0</v>
      </c>
      <c r="H27" s="45">
        <f t="shared" si="1"/>
        <v>0</v>
      </c>
      <c r="I27" s="45">
        <f t="shared" si="1"/>
        <v>0</v>
      </c>
      <c r="J27" s="45">
        <f t="shared" si="1"/>
        <v>0</v>
      </c>
      <c r="K27" s="45">
        <f t="shared" si="1"/>
        <v>0</v>
      </c>
      <c r="L27" s="45">
        <f t="shared" si="1"/>
        <v>0</v>
      </c>
      <c r="M27" s="45">
        <f t="shared" si="1"/>
        <v>0</v>
      </c>
      <c r="N27" s="45">
        <f t="shared" si="1"/>
        <v>0</v>
      </c>
    </row>
    <row r="28" spans="2:14" x14ac:dyDescent="0.3">
      <c r="B28" s="4" t="s">
        <v>526</v>
      </c>
      <c r="C28" s="2" t="s">
        <v>527</v>
      </c>
      <c r="D28" s="15" t="s">
        <v>298</v>
      </c>
      <c r="E28" s="21">
        <f t="shared" ref="E28:N28" si="2">E27*E13</f>
        <v>0</v>
      </c>
      <c r="F28" s="21">
        <f t="shared" si="2"/>
        <v>0</v>
      </c>
      <c r="G28" s="21">
        <f t="shared" si="2"/>
        <v>0</v>
      </c>
      <c r="H28" s="21">
        <f t="shared" si="2"/>
        <v>0</v>
      </c>
      <c r="I28" s="21">
        <f t="shared" si="2"/>
        <v>0</v>
      </c>
      <c r="J28" s="21">
        <f t="shared" si="2"/>
        <v>0</v>
      </c>
      <c r="K28" s="21">
        <f t="shared" si="2"/>
        <v>0</v>
      </c>
      <c r="L28" s="21">
        <f t="shared" si="2"/>
        <v>0</v>
      </c>
      <c r="M28" s="21">
        <f t="shared" si="2"/>
        <v>0</v>
      </c>
      <c r="N28" s="21">
        <f t="shared" si="2"/>
        <v>0</v>
      </c>
    </row>
    <row r="29" spans="2:14" x14ac:dyDescent="0.3">
      <c r="B29" s="4" t="s">
        <v>87</v>
      </c>
      <c r="C29" s="2" t="s">
        <v>528</v>
      </c>
      <c r="D29" s="15" t="s">
        <v>298</v>
      </c>
      <c r="E29" s="21">
        <f t="shared" ref="E29:N29" si="3">E15+E16*E11*1000+E17+E18</f>
        <v>0</v>
      </c>
      <c r="F29" s="21">
        <f t="shared" si="3"/>
        <v>0</v>
      </c>
      <c r="G29" s="21">
        <f t="shared" si="3"/>
        <v>0</v>
      </c>
      <c r="H29" s="21">
        <f t="shared" si="3"/>
        <v>0</v>
      </c>
      <c r="I29" s="21">
        <f t="shared" si="3"/>
        <v>0</v>
      </c>
      <c r="J29" s="21">
        <f t="shared" si="3"/>
        <v>0</v>
      </c>
      <c r="K29" s="21">
        <f t="shared" si="3"/>
        <v>0</v>
      </c>
      <c r="L29" s="21">
        <f t="shared" si="3"/>
        <v>0</v>
      </c>
      <c r="M29" s="21">
        <f t="shared" si="3"/>
        <v>0</v>
      </c>
      <c r="N29" s="21">
        <f t="shared" si="3"/>
        <v>0</v>
      </c>
    </row>
    <row r="30" spans="2:14" x14ac:dyDescent="0.3">
      <c r="B30" s="4" t="s">
        <v>529</v>
      </c>
      <c r="C30" s="2" t="s">
        <v>530</v>
      </c>
      <c r="D30" s="15" t="s">
        <v>173</v>
      </c>
      <c r="E30" s="21">
        <f t="shared" ref="E30:N30" si="4">E11</f>
        <v>0</v>
      </c>
      <c r="F30" s="21">
        <f t="shared" si="4"/>
        <v>0</v>
      </c>
      <c r="G30" s="21">
        <f t="shared" si="4"/>
        <v>0</v>
      </c>
      <c r="H30" s="21">
        <f t="shared" si="4"/>
        <v>0</v>
      </c>
      <c r="I30" s="21">
        <f t="shared" si="4"/>
        <v>0</v>
      </c>
      <c r="J30" s="21">
        <f t="shared" si="4"/>
        <v>0</v>
      </c>
      <c r="K30" s="21">
        <f t="shared" si="4"/>
        <v>0</v>
      </c>
      <c r="L30" s="21">
        <f t="shared" si="4"/>
        <v>0</v>
      </c>
      <c r="M30" s="21">
        <f t="shared" si="4"/>
        <v>0</v>
      </c>
      <c r="N30" s="21">
        <f t="shared" si="4"/>
        <v>0</v>
      </c>
    </row>
    <row r="31" spans="2:14" x14ac:dyDescent="0.3">
      <c r="B31" s="4" t="s">
        <v>531</v>
      </c>
      <c r="C31" s="37" t="s">
        <v>532</v>
      </c>
      <c r="D31" s="15" t="s">
        <v>17</v>
      </c>
      <c r="E31" s="46">
        <f t="shared" ref="E31:N31" si="5">IFERROR((E28+E29)/(E30*1000),0)</f>
        <v>0</v>
      </c>
      <c r="F31" s="46">
        <f t="shared" si="5"/>
        <v>0</v>
      </c>
      <c r="G31" s="46">
        <f t="shared" si="5"/>
        <v>0</v>
      </c>
      <c r="H31" s="46">
        <f t="shared" si="5"/>
        <v>0</v>
      </c>
      <c r="I31" s="46">
        <f t="shared" si="5"/>
        <v>0</v>
      </c>
      <c r="J31" s="46">
        <f t="shared" si="5"/>
        <v>0</v>
      </c>
      <c r="K31" s="46">
        <f t="shared" si="5"/>
        <v>0</v>
      </c>
      <c r="L31" s="46">
        <f t="shared" si="5"/>
        <v>0</v>
      </c>
      <c r="M31" s="46">
        <f t="shared" si="5"/>
        <v>0</v>
      </c>
      <c r="N31" s="46">
        <f t="shared" si="5"/>
        <v>0</v>
      </c>
    </row>
    <row r="32" spans="2:14" x14ac:dyDescent="0.3">
      <c r="B32" s="4" t="s">
        <v>533</v>
      </c>
      <c r="C32" s="2" t="s">
        <v>534</v>
      </c>
      <c r="D32" s="15" t="s">
        <v>131</v>
      </c>
      <c r="E32" s="17">
        <v>0.15</v>
      </c>
      <c r="F32" s="17">
        <v>0.15</v>
      </c>
      <c r="G32" s="17">
        <v>0.15</v>
      </c>
      <c r="H32" s="17">
        <v>0.15</v>
      </c>
      <c r="I32" s="17">
        <v>0.15</v>
      </c>
      <c r="J32" s="17">
        <v>0.15</v>
      </c>
      <c r="K32" s="17">
        <v>0.15</v>
      </c>
      <c r="L32" s="17">
        <v>0.15</v>
      </c>
      <c r="M32" s="17">
        <v>0.15</v>
      </c>
      <c r="N32" s="17">
        <v>0.15</v>
      </c>
    </row>
    <row r="33" spans="2:14" x14ac:dyDescent="0.3">
      <c r="B33" s="4" t="s">
        <v>535</v>
      </c>
      <c r="C33" s="2" t="s">
        <v>536</v>
      </c>
      <c r="D33" s="15" t="s">
        <v>131</v>
      </c>
      <c r="E33" s="22">
        <v>1.4E-2</v>
      </c>
      <c r="F33" s="22">
        <v>1.4E-2</v>
      </c>
      <c r="G33" s="22">
        <v>1.4E-2</v>
      </c>
      <c r="H33" s="22">
        <v>1.4E-2</v>
      </c>
      <c r="I33" s="22">
        <v>1.4E-2</v>
      </c>
      <c r="J33" s="22">
        <v>1.4E-2</v>
      </c>
      <c r="K33" s="22">
        <v>1.4E-2</v>
      </c>
      <c r="L33" s="22">
        <v>1.4E-2</v>
      </c>
      <c r="M33" s="22">
        <v>1.4E-2</v>
      </c>
      <c r="N33" s="22">
        <v>1.4E-2</v>
      </c>
    </row>
    <row r="34" spans="2:14" ht="15.45" customHeight="1" x14ac:dyDescent="0.3">
      <c r="B34" s="4" t="s">
        <v>537</v>
      </c>
      <c r="C34" s="47" t="s">
        <v>538</v>
      </c>
      <c r="D34" s="15" t="s">
        <v>17</v>
      </c>
      <c r="E34" s="48">
        <f t="shared" ref="E34:N34" si="6">IFERROR(E31*(1+E32)*(1+E33),0)</f>
        <v>0</v>
      </c>
      <c r="F34" s="48">
        <f t="shared" si="6"/>
        <v>0</v>
      </c>
      <c r="G34" s="48">
        <f t="shared" si="6"/>
        <v>0</v>
      </c>
      <c r="H34" s="48">
        <f t="shared" si="6"/>
        <v>0</v>
      </c>
      <c r="I34" s="48">
        <f t="shared" si="6"/>
        <v>0</v>
      </c>
      <c r="J34" s="48">
        <f t="shared" si="6"/>
        <v>0</v>
      </c>
      <c r="K34" s="48">
        <f t="shared" si="6"/>
        <v>0</v>
      </c>
      <c r="L34" s="48">
        <f t="shared" si="6"/>
        <v>0</v>
      </c>
      <c r="M34" s="48">
        <f t="shared" si="6"/>
        <v>0</v>
      </c>
      <c r="N34" s="48">
        <f t="shared" si="6"/>
        <v>0</v>
      </c>
    </row>
    <row r="36" spans="2:14" ht="13.95" customHeight="1" x14ac:dyDescent="0.3">
      <c r="B36" s="142" t="s">
        <v>539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1"/>
    </row>
    <row r="37" spans="2:14" x14ac:dyDescent="0.3">
      <c r="B37" s="163" t="s">
        <v>540</v>
      </c>
      <c r="C37" s="117"/>
      <c r="D37" s="2" t="s">
        <v>226</v>
      </c>
      <c r="E37" s="20"/>
    </row>
    <row r="38" spans="2:14" x14ac:dyDescent="0.3">
      <c r="B38" s="163" t="s">
        <v>541</v>
      </c>
      <c r="C38" s="117"/>
      <c r="D38" s="2" t="s">
        <v>17</v>
      </c>
      <c r="E38" s="49">
        <f>IF(E37&lt;10,2.5,IF(E37&lt;30,1,0))</f>
        <v>2.5</v>
      </c>
      <c r="F38" s="49">
        <f>IF(E37&lt;10,2.5,IF(E37&lt;30,1,0))</f>
        <v>2.5</v>
      </c>
      <c r="G38" s="49">
        <f>IF(E37&lt;10,2.5,IF(E37&lt;30,1,0))</f>
        <v>2.5</v>
      </c>
      <c r="H38" s="49">
        <f>IF(E37&lt;10,2.5,IF(E37&lt;30,1,0))</f>
        <v>2.5</v>
      </c>
      <c r="I38" s="49">
        <f>IF(E37&lt;10,2.5,IF(E37&lt;30,1,0))</f>
        <v>2.5</v>
      </c>
      <c r="J38" s="49">
        <f>IF(E37&lt;10,2.5,IF(E37&lt;30,1,0))</f>
        <v>2.5</v>
      </c>
      <c r="K38" s="49">
        <f>IF(E37&lt;10,2.5,IF(E37&lt;30,1,0))</f>
        <v>2.5</v>
      </c>
      <c r="L38" s="49">
        <f>IF(E37&lt;10,2.5,IF(E37&lt;30,1,0))</f>
        <v>2.5</v>
      </c>
      <c r="M38" s="49">
        <f>IF(E37&lt;10,2.5,IF(E37&lt;30,1,0))</f>
        <v>2.5</v>
      </c>
      <c r="N38" s="49">
        <f>IF(E37&lt;10,2.5,IF(E37&lt;30,1,0))</f>
        <v>2.5</v>
      </c>
    </row>
  </sheetData>
  <mergeCells count="9">
    <mergeCell ref="B2:N2"/>
    <mergeCell ref="B36:N36"/>
    <mergeCell ref="B38:C38"/>
    <mergeCell ref="B5:N5"/>
    <mergeCell ref="B23:N23"/>
    <mergeCell ref="B3:N3"/>
    <mergeCell ref="B37:C37"/>
    <mergeCell ref="B6:N6"/>
    <mergeCell ref="B24:N24"/>
  </mergeCells>
  <hyperlinks>
    <hyperlink ref="B1" location="'16_LV_HV_Tariff'!A1" display="◄ Prev. Pg" xr:uid="{00000000-0004-0000-0D00-000000000000}"/>
    <hyperlink ref="C1" location="'Control Panel'!A1" display="◄◄◄ Control Panel" xr:uid="{00000000-0004-0000-0D00-000001000000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8A217"/>
  </sheetPr>
  <dimension ref="B1:N37"/>
  <sheetViews>
    <sheetView workbookViewId="0">
      <selection activeCell="C1" sqref="B1:C1"/>
    </sheetView>
  </sheetViews>
  <sheetFormatPr defaultRowHeight="14.4" x14ac:dyDescent="0.3"/>
  <cols>
    <col min="1" max="1" width="2" customWidth="1"/>
    <col min="2" max="2" width="8.44140625" bestFit="1" customWidth="1"/>
    <col min="3" max="3" width="42" customWidth="1"/>
    <col min="4" max="4" width="12" customWidth="1"/>
    <col min="5" max="14" width="14" customWidth="1"/>
  </cols>
  <sheetData>
    <row r="1" spans="2:14" ht="13.05" customHeight="1" x14ac:dyDescent="0.3">
      <c r="B1" s="70" t="s">
        <v>0</v>
      </c>
      <c r="C1" s="70" t="s">
        <v>1</v>
      </c>
    </row>
    <row r="2" spans="2:14" ht="15.45" customHeight="1" x14ac:dyDescent="0.3">
      <c r="B2" s="143" t="s">
        <v>542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1"/>
    </row>
    <row r="3" spans="2:14" ht="30" customHeight="1" x14ac:dyDescent="0.3">
      <c r="B3" s="164" t="s">
        <v>543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1"/>
    </row>
    <row r="4" spans="2:14" ht="24" customHeight="1" x14ac:dyDescent="0.3">
      <c r="B4" s="44" t="s">
        <v>2</v>
      </c>
      <c r="C4" s="44" t="s">
        <v>544</v>
      </c>
      <c r="D4" s="44" t="s">
        <v>3</v>
      </c>
      <c r="E4" s="42" t="s">
        <v>545</v>
      </c>
      <c r="F4" s="42" t="s">
        <v>6</v>
      </c>
      <c r="G4" s="42" t="s">
        <v>7</v>
      </c>
      <c r="H4" s="42" t="s">
        <v>8</v>
      </c>
      <c r="I4" s="42" t="s">
        <v>9</v>
      </c>
      <c r="J4" s="43" t="s">
        <v>10</v>
      </c>
      <c r="K4" s="43" t="s">
        <v>11</v>
      </c>
      <c r="L4" s="43" t="s">
        <v>12</v>
      </c>
      <c r="M4" s="43" t="s">
        <v>13</v>
      </c>
      <c r="N4" s="43" t="s">
        <v>14</v>
      </c>
    </row>
    <row r="5" spans="2:14" ht="13.95" customHeight="1" x14ac:dyDescent="0.3">
      <c r="B5" s="142" t="s">
        <v>546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1"/>
    </row>
    <row r="6" spans="2:14" ht="25.95" customHeight="1" x14ac:dyDescent="0.3">
      <c r="B6" s="4" t="s">
        <v>326</v>
      </c>
      <c r="C6" s="9" t="s">
        <v>547</v>
      </c>
      <c r="D6" s="15" t="s">
        <v>298</v>
      </c>
      <c r="E6" s="65">
        <f>'08_Revenue Requirement'!F23</f>
        <v>143438893819.31198</v>
      </c>
      <c r="F6" s="65">
        <f>'08_Revenue Requirement'!G23</f>
        <v>160056272004.552</v>
      </c>
      <c r="G6" s="65">
        <f>'08_Revenue Requirement'!H23</f>
        <v>179006909063.02402</v>
      </c>
      <c r="H6" s="65">
        <f>'08_Revenue Requirement'!I23</f>
        <v>200522149114.72803</v>
      </c>
      <c r="I6" s="65">
        <f>'08_Revenue Requirement'!J23</f>
        <v>224872012108.46399</v>
      </c>
      <c r="J6" s="65">
        <f>'08_Revenue Requirement'!K23</f>
        <v>250910627527.11197</v>
      </c>
      <c r="K6" s="65">
        <f>'08_Revenue Requirement'!L23</f>
        <v>281116705794.51196</v>
      </c>
      <c r="L6" s="65">
        <f>'08_Revenue Requirement'!M23</f>
        <v>313219190680.42395</v>
      </c>
      <c r="M6" s="65">
        <f>'08_Revenue Requirement'!N23</f>
        <v>348194036705.64795</v>
      </c>
      <c r="N6" s="65">
        <f>'08_Revenue Requirement'!O23</f>
        <v>388304039818.12793</v>
      </c>
    </row>
    <row r="7" spans="2:14" ht="25.95" customHeight="1" x14ac:dyDescent="0.3">
      <c r="B7" s="4" t="s">
        <v>328</v>
      </c>
      <c r="C7" s="9" t="s">
        <v>548</v>
      </c>
      <c r="D7" s="15" t="s">
        <v>131</v>
      </c>
      <c r="E7" s="17">
        <v>0.75</v>
      </c>
      <c r="F7" s="17">
        <v>0.78</v>
      </c>
      <c r="G7" s="17">
        <v>0.82</v>
      </c>
      <c r="H7" s="17">
        <v>0.85</v>
      </c>
      <c r="I7" s="17">
        <v>0.88</v>
      </c>
      <c r="J7" s="17">
        <v>0.9</v>
      </c>
      <c r="K7" s="17">
        <v>0.92</v>
      </c>
      <c r="L7" s="17">
        <v>0.94</v>
      </c>
      <c r="M7" s="17">
        <v>0.95</v>
      </c>
      <c r="N7" s="17">
        <v>0.96</v>
      </c>
    </row>
    <row r="8" spans="2:14" x14ac:dyDescent="0.3">
      <c r="B8" s="4" t="s">
        <v>330</v>
      </c>
      <c r="C8" s="9" t="s">
        <v>549</v>
      </c>
      <c r="D8" s="15" t="s">
        <v>298</v>
      </c>
      <c r="E8" s="21">
        <f t="shared" ref="E8:N8" si="0">E6*E7</f>
        <v>107579170364.48398</v>
      </c>
      <c r="F8" s="21">
        <f t="shared" si="0"/>
        <v>124843892163.55057</v>
      </c>
      <c r="G8" s="21">
        <f t="shared" si="0"/>
        <v>146785665431.67969</v>
      </c>
      <c r="H8" s="21">
        <f t="shared" si="0"/>
        <v>170443826747.51883</v>
      </c>
      <c r="I8" s="21">
        <f t="shared" si="0"/>
        <v>197887370655.4483</v>
      </c>
      <c r="J8" s="21">
        <f t="shared" si="0"/>
        <v>225819564774.40079</v>
      </c>
      <c r="K8" s="21">
        <f t="shared" si="0"/>
        <v>258627369330.95102</v>
      </c>
      <c r="L8" s="21">
        <f t="shared" si="0"/>
        <v>294426039239.59851</v>
      </c>
      <c r="M8" s="21">
        <f t="shared" si="0"/>
        <v>330784334870.36554</v>
      </c>
      <c r="N8" s="21">
        <f t="shared" si="0"/>
        <v>372771878225.40277</v>
      </c>
    </row>
    <row r="10" spans="2:14" ht="13.95" customHeight="1" x14ac:dyDescent="0.3">
      <c r="B10" s="142" t="s">
        <v>550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1"/>
    </row>
    <row r="11" spans="2:14" x14ac:dyDescent="0.3">
      <c r="B11" s="4" t="s">
        <v>90</v>
      </c>
      <c r="C11" s="9" t="s">
        <v>551</v>
      </c>
      <c r="D11" s="15" t="s">
        <v>298</v>
      </c>
      <c r="E11" s="62">
        <f>'05_OpEx OM'!F39</f>
        <v>2270000000</v>
      </c>
      <c r="F11" s="62">
        <f>'05_OpEx OM'!G39</f>
        <v>2270000000</v>
      </c>
      <c r="G11" s="62">
        <f>'05_OpEx OM'!H39</f>
        <v>2270000000</v>
      </c>
      <c r="H11" s="62">
        <f>'05_OpEx OM'!I39</f>
        <v>2270000000</v>
      </c>
      <c r="I11" s="62">
        <f>'05_OpEx OM'!J39</f>
        <v>2270000000</v>
      </c>
      <c r="J11" s="62">
        <f>'05_OpEx OM'!K39</f>
        <v>2270000000</v>
      </c>
      <c r="K11" s="62">
        <f>'05_OpEx OM'!L39</f>
        <v>2270000000</v>
      </c>
      <c r="L11" s="62">
        <f>'05_OpEx OM'!M39</f>
        <v>2270000000</v>
      </c>
      <c r="M11" s="62">
        <f>'05_OpEx OM'!N39</f>
        <v>2270000000</v>
      </c>
      <c r="N11" s="62">
        <f>'05_OpEx OM'!O39</f>
        <v>2270000000</v>
      </c>
    </row>
    <row r="12" spans="2:14" x14ac:dyDescent="0.3">
      <c r="B12" s="4" t="s">
        <v>93</v>
      </c>
      <c r="C12" s="9" t="s">
        <v>552</v>
      </c>
      <c r="D12" s="15" t="s">
        <v>298</v>
      </c>
      <c r="E12" s="62">
        <f>'07_Depreciation'!F15</f>
        <v>1017868000</v>
      </c>
      <c r="F12" s="62">
        <f>'07_Depreciation'!G15</f>
        <v>1009242000</v>
      </c>
      <c r="G12" s="62">
        <f>'07_Depreciation'!H15</f>
        <v>1000616000</v>
      </c>
      <c r="H12" s="62">
        <f>'07_Depreciation'!I15</f>
        <v>991990000</v>
      </c>
      <c r="I12" s="62">
        <f>'07_Depreciation'!J15</f>
        <v>826564000.00000012</v>
      </c>
      <c r="J12" s="62">
        <f>'07_Depreciation'!K15</f>
        <v>753258000</v>
      </c>
      <c r="K12" s="62">
        <f>'07_Depreciation'!L15</f>
        <v>746592000</v>
      </c>
      <c r="L12" s="62">
        <f>'07_Depreciation'!M15</f>
        <v>739926000</v>
      </c>
      <c r="M12" s="62">
        <f>'07_Depreciation'!N15</f>
        <v>699460000</v>
      </c>
      <c r="N12" s="62">
        <f>'07_Depreciation'!O15</f>
        <v>590260000</v>
      </c>
    </row>
    <row r="13" spans="2:14" x14ac:dyDescent="0.3">
      <c r="B13" s="4" t="s">
        <v>168</v>
      </c>
      <c r="C13" s="9" t="s">
        <v>553</v>
      </c>
      <c r="D13" s="15" t="s">
        <v>298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2:14" x14ac:dyDescent="0.3">
      <c r="B14" s="4" t="s">
        <v>95</v>
      </c>
      <c r="C14" s="9" t="s">
        <v>554</v>
      </c>
      <c r="D14" s="15" t="s">
        <v>298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2:14" x14ac:dyDescent="0.3">
      <c r="B15" s="4" t="s">
        <v>555</v>
      </c>
      <c r="C15" s="9" t="s">
        <v>556</v>
      </c>
      <c r="D15" s="15" t="s">
        <v>298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x14ac:dyDescent="0.3">
      <c r="B16" s="4" t="s">
        <v>557</v>
      </c>
      <c r="C16" s="9" t="s">
        <v>558</v>
      </c>
      <c r="D16" s="15" t="s">
        <v>298</v>
      </c>
      <c r="E16" s="62">
        <f>'02_PassThrough'!F16</f>
        <v>136775898000</v>
      </c>
      <c r="F16" s="62">
        <f>'02_PassThrough'!G16</f>
        <v>153343638000</v>
      </c>
      <c r="G16" s="62">
        <f>'02_PassThrough'!H16</f>
        <v>172255406400</v>
      </c>
      <c r="H16" s="62">
        <f>'02_PassThrough'!I16</f>
        <v>193775059800</v>
      </c>
      <c r="I16" s="62">
        <f>'02_PassThrough'!J16</f>
        <v>218289178799.99997</v>
      </c>
      <c r="J16" s="62">
        <f>'02_PassThrough'!K16</f>
        <v>244387664639.99997</v>
      </c>
      <c r="K16" s="62">
        <f>'02_PassThrough'!L16</f>
        <v>274590041040</v>
      </c>
      <c r="L16" s="62">
        <f>'02_PassThrough'!M16</f>
        <v>306687276000</v>
      </c>
      <c r="M16" s="62">
        <f>'02_PassThrough'!N16</f>
        <v>341685706319.99994</v>
      </c>
      <c r="N16" s="62">
        <f>'02_PassThrough'!O16</f>
        <v>381871680119.99994</v>
      </c>
    </row>
    <row r="18" spans="2:14" ht="13.95" customHeight="1" x14ac:dyDescent="0.3">
      <c r="B18" s="142" t="s">
        <v>559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1"/>
    </row>
    <row r="19" spans="2:14" x14ac:dyDescent="0.3">
      <c r="B19" s="50" t="s">
        <v>71</v>
      </c>
      <c r="C19" s="1" t="s">
        <v>560</v>
      </c>
      <c r="D19" s="18" t="s">
        <v>298</v>
      </c>
      <c r="E19" s="51">
        <f t="shared" ref="E19:N19" si="1">E8</f>
        <v>107579170364.48398</v>
      </c>
      <c r="F19" s="51">
        <f t="shared" si="1"/>
        <v>124843892163.55057</v>
      </c>
      <c r="G19" s="51">
        <f t="shared" si="1"/>
        <v>146785665431.67969</v>
      </c>
      <c r="H19" s="51">
        <f t="shared" si="1"/>
        <v>170443826747.51883</v>
      </c>
      <c r="I19" s="51">
        <f t="shared" si="1"/>
        <v>197887370655.4483</v>
      </c>
      <c r="J19" s="51">
        <f t="shared" si="1"/>
        <v>225819564774.40079</v>
      </c>
      <c r="K19" s="51">
        <f t="shared" si="1"/>
        <v>258627369330.95102</v>
      </c>
      <c r="L19" s="51">
        <f t="shared" si="1"/>
        <v>294426039239.59851</v>
      </c>
      <c r="M19" s="51">
        <f t="shared" si="1"/>
        <v>330784334870.36554</v>
      </c>
      <c r="N19" s="51">
        <f t="shared" si="1"/>
        <v>372771878225.40277</v>
      </c>
    </row>
    <row r="20" spans="2:14" x14ac:dyDescent="0.3">
      <c r="B20" s="50" t="s">
        <v>75</v>
      </c>
      <c r="C20" s="1" t="s">
        <v>561</v>
      </c>
      <c r="D20" s="18" t="s">
        <v>298</v>
      </c>
      <c r="E20" s="51">
        <f t="shared" ref="E20:N20" si="2">-E16</f>
        <v>-136775898000</v>
      </c>
      <c r="F20" s="51">
        <f t="shared" si="2"/>
        <v>-153343638000</v>
      </c>
      <c r="G20" s="51">
        <f t="shared" si="2"/>
        <v>-172255406400</v>
      </c>
      <c r="H20" s="51">
        <f t="shared" si="2"/>
        <v>-193775059800</v>
      </c>
      <c r="I20" s="51">
        <f t="shared" si="2"/>
        <v>-218289178799.99997</v>
      </c>
      <c r="J20" s="51">
        <f t="shared" si="2"/>
        <v>-244387664639.99997</v>
      </c>
      <c r="K20" s="51">
        <f t="shared" si="2"/>
        <v>-274590041040</v>
      </c>
      <c r="L20" s="51">
        <f t="shared" si="2"/>
        <v>-306687276000</v>
      </c>
      <c r="M20" s="51">
        <f t="shared" si="2"/>
        <v>-341685706319.99994</v>
      </c>
      <c r="N20" s="51">
        <f t="shared" si="2"/>
        <v>-381871680119.99994</v>
      </c>
    </row>
    <row r="21" spans="2:14" x14ac:dyDescent="0.3">
      <c r="B21" s="52" t="s">
        <v>562</v>
      </c>
      <c r="C21" s="53" t="s">
        <v>563</v>
      </c>
      <c r="D21" s="54" t="s">
        <v>298</v>
      </c>
      <c r="E21" s="55">
        <f t="shared" ref="E21:N21" si="3">E8-E16</f>
        <v>-29196727635.516022</v>
      </c>
      <c r="F21" s="55">
        <f t="shared" si="3"/>
        <v>-28499745836.449432</v>
      </c>
      <c r="G21" s="55">
        <f t="shared" si="3"/>
        <v>-25469740968.320313</v>
      </c>
      <c r="H21" s="55">
        <f t="shared" si="3"/>
        <v>-23331233052.481171</v>
      </c>
      <c r="I21" s="55">
        <f t="shared" si="3"/>
        <v>-20401808144.551666</v>
      </c>
      <c r="J21" s="55">
        <f t="shared" si="3"/>
        <v>-18568099865.599182</v>
      </c>
      <c r="K21" s="55">
        <f t="shared" si="3"/>
        <v>-15962671709.048981</v>
      </c>
      <c r="L21" s="55">
        <f t="shared" si="3"/>
        <v>-12261236760.401489</v>
      </c>
      <c r="M21" s="55">
        <f t="shared" si="3"/>
        <v>-10901371449.634399</v>
      </c>
      <c r="N21" s="55">
        <f t="shared" si="3"/>
        <v>-9099801894.597168</v>
      </c>
    </row>
    <row r="22" spans="2:14" x14ac:dyDescent="0.3">
      <c r="B22" s="50" t="s">
        <v>564</v>
      </c>
      <c r="C22" s="1" t="s">
        <v>565</v>
      </c>
      <c r="D22" s="18" t="s">
        <v>298</v>
      </c>
      <c r="E22" s="51">
        <f t="shared" ref="E22:N22" si="4">-E11</f>
        <v>-2270000000</v>
      </c>
      <c r="F22" s="51">
        <f t="shared" si="4"/>
        <v>-2270000000</v>
      </c>
      <c r="G22" s="51">
        <f t="shared" si="4"/>
        <v>-2270000000</v>
      </c>
      <c r="H22" s="51">
        <f t="shared" si="4"/>
        <v>-2270000000</v>
      </c>
      <c r="I22" s="51">
        <f t="shared" si="4"/>
        <v>-2270000000</v>
      </c>
      <c r="J22" s="51">
        <f t="shared" si="4"/>
        <v>-2270000000</v>
      </c>
      <c r="K22" s="51">
        <f t="shared" si="4"/>
        <v>-2270000000</v>
      </c>
      <c r="L22" s="51">
        <f t="shared" si="4"/>
        <v>-2270000000</v>
      </c>
      <c r="M22" s="51">
        <f t="shared" si="4"/>
        <v>-2270000000</v>
      </c>
      <c r="N22" s="51">
        <f t="shared" si="4"/>
        <v>-2270000000</v>
      </c>
    </row>
    <row r="23" spans="2:14" x14ac:dyDescent="0.3">
      <c r="B23" s="52" t="s">
        <v>566</v>
      </c>
      <c r="C23" s="53" t="s">
        <v>567</v>
      </c>
      <c r="D23" s="54" t="s">
        <v>298</v>
      </c>
      <c r="E23" s="55">
        <f t="shared" ref="E23:N23" si="5">E8-E16-E11</f>
        <v>-31466727635.516022</v>
      </c>
      <c r="F23" s="55">
        <f t="shared" si="5"/>
        <v>-30769745836.449432</v>
      </c>
      <c r="G23" s="55">
        <f t="shared" si="5"/>
        <v>-27739740968.320313</v>
      </c>
      <c r="H23" s="55">
        <f t="shared" si="5"/>
        <v>-25601233052.481171</v>
      </c>
      <c r="I23" s="55">
        <f t="shared" si="5"/>
        <v>-22671808144.551666</v>
      </c>
      <c r="J23" s="55">
        <f t="shared" si="5"/>
        <v>-20838099865.599182</v>
      </c>
      <c r="K23" s="55">
        <f t="shared" si="5"/>
        <v>-18232671709.048981</v>
      </c>
      <c r="L23" s="55">
        <f t="shared" si="5"/>
        <v>-14531236760.401489</v>
      </c>
      <c r="M23" s="55">
        <f t="shared" si="5"/>
        <v>-13171371449.634399</v>
      </c>
      <c r="N23" s="55">
        <f t="shared" si="5"/>
        <v>-11369801894.597168</v>
      </c>
    </row>
    <row r="24" spans="2:14" x14ac:dyDescent="0.3">
      <c r="B24" s="50" t="s">
        <v>568</v>
      </c>
      <c r="C24" s="1" t="s">
        <v>569</v>
      </c>
      <c r="D24" s="18" t="s">
        <v>298</v>
      </c>
      <c r="E24" s="51">
        <f t="shared" ref="E24:N24" si="6">-E12</f>
        <v>-1017868000</v>
      </c>
      <c r="F24" s="51">
        <f t="shared" si="6"/>
        <v>-1009242000</v>
      </c>
      <c r="G24" s="51">
        <f t="shared" si="6"/>
        <v>-1000616000</v>
      </c>
      <c r="H24" s="51">
        <f t="shared" si="6"/>
        <v>-991990000</v>
      </c>
      <c r="I24" s="51">
        <f t="shared" si="6"/>
        <v>-826564000.00000012</v>
      </c>
      <c r="J24" s="51">
        <f t="shared" si="6"/>
        <v>-753258000</v>
      </c>
      <c r="K24" s="51">
        <f t="shared" si="6"/>
        <v>-746592000</v>
      </c>
      <c r="L24" s="51">
        <f t="shared" si="6"/>
        <v>-739926000</v>
      </c>
      <c r="M24" s="51">
        <f t="shared" si="6"/>
        <v>-699460000</v>
      </c>
      <c r="N24" s="51">
        <f t="shared" si="6"/>
        <v>-590260000</v>
      </c>
    </row>
    <row r="25" spans="2:14" x14ac:dyDescent="0.3">
      <c r="B25" s="52" t="s">
        <v>570</v>
      </c>
      <c r="C25" s="53" t="s">
        <v>571</v>
      </c>
      <c r="D25" s="54" t="s">
        <v>298</v>
      </c>
      <c r="E25" s="55">
        <f t="shared" ref="E25:N25" si="7">E8-E16-E11-E12</f>
        <v>-32484595635.516022</v>
      </c>
      <c r="F25" s="55">
        <f t="shared" si="7"/>
        <v>-31778987836.449432</v>
      </c>
      <c r="G25" s="55">
        <f t="shared" si="7"/>
        <v>-28740356968.320313</v>
      </c>
      <c r="H25" s="55">
        <f t="shared" si="7"/>
        <v>-26593223052.481171</v>
      </c>
      <c r="I25" s="55">
        <f t="shared" si="7"/>
        <v>-23498372144.551666</v>
      </c>
      <c r="J25" s="55">
        <f t="shared" si="7"/>
        <v>-21591357865.599182</v>
      </c>
      <c r="K25" s="55">
        <f t="shared" si="7"/>
        <v>-18979263709.048981</v>
      </c>
      <c r="L25" s="55">
        <f t="shared" si="7"/>
        <v>-15271162760.401489</v>
      </c>
      <c r="M25" s="55">
        <f t="shared" si="7"/>
        <v>-13870831449.634399</v>
      </c>
      <c r="N25" s="55">
        <f t="shared" si="7"/>
        <v>-11960061894.597168</v>
      </c>
    </row>
    <row r="26" spans="2:14" x14ac:dyDescent="0.3">
      <c r="B26" s="50" t="s">
        <v>572</v>
      </c>
      <c r="C26" s="1" t="s">
        <v>573</v>
      </c>
      <c r="D26" s="18" t="s">
        <v>298</v>
      </c>
      <c r="E26" s="51">
        <f t="shared" ref="E26:N26" si="8">-E13</f>
        <v>0</v>
      </c>
      <c r="F26" s="51">
        <f t="shared" si="8"/>
        <v>0</v>
      </c>
      <c r="G26" s="51">
        <f t="shared" si="8"/>
        <v>0</v>
      </c>
      <c r="H26" s="51">
        <f t="shared" si="8"/>
        <v>0</v>
      </c>
      <c r="I26" s="51">
        <f t="shared" si="8"/>
        <v>0</v>
      </c>
      <c r="J26" s="51">
        <f t="shared" si="8"/>
        <v>0</v>
      </c>
      <c r="K26" s="51">
        <f t="shared" si="8"/>
        <v>0</v>
      </c>
      <c r="L26" s="51">
        <f t="shared" si="8"/>
        <v>0</v>
      </c>
      <c r="M26" s="51">
        <f t="shared" si="8"/>
        <v>0</v>
      </c>
      <c r="N26" s="51">
        <f t="shared" si="8"/>
        <v>0</v>
      </c>
    </row>
    <row r="27" spans="2:14" x14ac:dyDescent="0.3">
      <c r="B27" s="50" t="s">
        <v>574</v>
      </c>
      <c r="C27" s="1" t="s">
        <v>575</v>
      </c>
      <c r="D27" s="18" t="s">
        <v>298</v>
      </c>
      <c r="E27" s="51">
        <f t="shared" ref="E27:N27" si="9">-E14</f>
        <v>0</v>
      </c>
      <c r="F27" s="51">
        <f t="shared" si="9"/>
        <v>0</v>
      </c>
      <c r="G27" s="51">
        <f t="shared" si="9"/>
        <v>0</v>
      </c>
      <c r="H27" s="51">
        <f t="shared" si="9"/>
        <v>0</v>
      </c>
      <c r="I27" s="51">
        <f t="shared" si="9"/>
        <v>0</v>
      </c>
      <c r="J27" s="51">
        <f t="shared" si="9"/>
        <v>0</v>
      </c>
      <c r="K27" s="51">
        <f t="shared" si="9"/>
        <v>0</v>
      </c>
      <c r="L27" s="51">
        <f t="shared" si="9"/>
        <v>0</v>
      </c>
      <c r="M27" s="51">
        <f t="shared" si="9"/>
        <v>0</v>
      </c>
      <c r="N27" s="51">
        <f t="shared" si="9"/>
        <v>0</v>
      </c>
    </row>
    <row r="28" spans="2:14" x14ac:dyDescent="0.3">
      <c r="B28" s="52" t="s">
        <v>576</v>
      </c>
      <c r="C28" s="53" t="s">
        <v>577</v>
      </c>
      <c r="D28" s="54" t="s">
        <v>298</v>
      </c>
      <c r="E28" s="55">
        <f t="shared" ref="E28:N28" si="10">E8-E16-E11-E12-E13-E14</f>
        <v>-32484595635.516022</v>
      </c>
      <c r="F28" s="55">
        <f t="shared" si="10"/>
        <v>-31778987836.449432</v>
      </c>
      <c r="G28" s="55">
        <f t="shared" si="10"/>
        <v>-28740356968.320313</v>
      </c>
      <c r="H28" s="55">
        <f t="shared" si="10"/>
        <v>-26593223052.481171</v>
      </c>
      <c r="I28" s="55">
        <f t="shared" si="10"/>
        <v>-23498372144.551666</v>
      </c>
      <c r="J28" s="55">
        <f t="shared" si="10"/>
        <v>-21591357865.599182</v>
      </c>
      <c r="K28" s="55">
        <f t="shared" si="10"/>
        <v>-18979263709.048981</v>
      </c>
      <c r="L28" s="55">
        <f t="shared" si="10"/>
        <v>-15271162760.401489</v>
      </c>
      <c r="M28" s="55">
        <f t="shared" si="10"/>
        <v>-13870831449.634399</v>
      </c>
      <c r="N28" s="55">
        <f t="shared" si="10"/>
        <v>-11960061894.597168</v>
      </c>
    </row>
    <row r="30" spans="2:14" ht="13.95" customHeight="1" x14ac:dyDescent="0.3">
      <c r="B30" s="142" t="s">
        <v>578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1"/>
    </row>
    <row r="31" spans="2:14" x14ac:dyDescent="0.3">
      <c r="B31" s="4" t="s">
        <v>579</v>
      </c>
      <c r="C31" s="9" t="s">
        <v>580</v>
      </c>
      <c r="D31" s="15" t="s">
        <v>131</v>
      </c>
      <c r="E31" s="56">
        <f t="shared" ref="E31:N31" si="11">IFERROR(E23/E21,0)</f>
        <v>1.0777484390832446</v>
      </c>
      <c r="F31" s="56">
        <f t="shared" si="11"/>
        <v>1.079649833125768</v>
      </c>
      <c r="G31" s="56">
        <f t="shared" si="11"/>
        <v>1.0891253665604006</v>
      </c>
      <c r="H31" s="56">
        <f t="shared" si="11"/>
        <v>1.0972944719592777</v>
      </c>
      <c r="I31" s="56">
        <f t="shared" si="11"/>
        <v>1.1112646479133863</v>
      </c>
      <c r="J31" s="56">
        <f t="shared" si="11"/>
        <v>1.1222526815576639</v>
      </c>
      <c r="K31" s="56">
        <f t="shared" si="11"/>
        <v>1.1422067709826529</v>
      </c>
      <c r="L31" s="56">
        <f t="shared" si="11"/>
        <v>1.1851362994091363</v>
      </c>
      <c r="M31" s="56">
        <f t="shared" si="11"/>
        <v>1.2082306809274102</v>
      </c>
      <c r="N31" s="56">
        <f t="shared" si="11"/>
        <v>1.2494559800634526</v>
      </c>
    </row>
    <row r="32" spans="2:14" x14ac:dyDescent="0.3">
      <c r="B32" s="4" t="s">
        <v>581</v>
      </c>
      <c r="C32" s="9" t="s">
        <v>582</v>
      </c>
      <c r="D32" s="15" t="s">
        <v>131</v>
      </c>
      <c r="E32" s="56">
        <f t="shared" ref="E32:N32" si="12">IFERROR(E28/E21,0)</f>
        <v>1.1126108391681715</v>
      </c>
      <c r="F32" s="56">
        <f t="shared" si="12"/>
        <v>1.1150621489334844</v>
      </c>
      <c r="G32" s="56">
        <f t="shared" si="12"/>
        <v>1.1284118281402251</v>
      </c>
      <c r="H32" s="56">
        <f t="shared" si="12"/>
        <v>1.1398121562054819</v>
      </c>
      <c r="I32" s="56">
        <f t="shared" si="12"/>
        <v>1.151778900088664</v>
      </c>
      <c r="J32" s="56">
        <f t="shared" si="12"/>
        <v>1.1628199989165904</v>
      </c>
      <c r="K32" s="56">
        <f t="shared" si="12"/>
        <v>1.1889778888511466</v>
      </c>
      <c r="L32" s="56">
        <f t="shared" si="12"/>
        <v>1.2454830665794467</v>
      </c>
      <c r="M32" s="56">
        <f t="shared" si="12"/>
        <v>1.2723932501263029</v>
      </c>
      <c r="N32" s="56">
        <f t="shared" si="12"/>
        <v>1.3143211284300842</v>
      </c>
    </row>
    <row r="33" spans="2:14" ht="25.95" customHeight="1" x14ac:dyDescent="0.3">
      <c r="B33" s="4" t="s">
        <v>583</v>
      </c>
      <c r="C33" s="9" t="s">
        <v>584</v>
      </c>
      <c r="D33" s="15" t="s">
        <v>585</v>
      </c>
      <c r="E33" s="57">
        <f t="shared" ref="E33:N33" si="13">IFERROR(E23/E13,0)</f>
        <v>0</v>
      </c>
      <c r="F33" s="57">
        <f t="shared" si="13"/>
        <v>0</v>
      </c>
      <c r="G33" s="57">
        <f t="shared" si="13"/>
        <v>0</v>
      </c>
      <c r="H33" s="57">
        <f t="shared" si="13"/>
        <v>0</v>
      </c>
      <c r="I33" s="57">
        <f t="shared" si="13"/>
        <v>0</v>
      </c>
      <c r="J33" s="57">
        <f t="shared" si="13"/>
        <v>0</v>
      </c>
      <c r="K33" s="57">
        <f t="shared" si="13"/>
        <v>0</v>
      </c>
      <c r="L33" s="57">
        <f t="shared" si="13"/>
        <v>0</v>
      </c>
      <c r="M33" s="57">
        <f t="shared" si="13"/>
        <v>0</v>
      </c>
      <c r="N33" s="57">
        <f t="shared" si="13"/>
        <v>0</v>
      </c>
    </row>
    <row r="34" spans="2:14" x14ac:dyDescent="0.3">
      <c r="B34" s="4" t="s">
        <v>586</v>
      </c>
      <c r="C34" s="9" t="s">
        <v>587</v>
      </c>
      <c r="D34" s="15" t="s">
        <v>131</v>
      </c>
      <c r="E34" s="15">
        <f>E25/'08_Revenue Requirement'!F7</f>
        <v>-2.2683084929233637</v>
      </c>
      <c r="F34" s="15">
        <f>F25/'08_Revenue Requirement'!G7</f>
        <v>-2.180748934514404</v>
      </c>
      <c r="G34" s="15">
        <f>G25/'08_Revenue Requirement'!H7</f>
        <v>-1.9448619515912895</v>
      </c>
      <c r="H34" s="15">
        <f>H25/'08_Revenue Requirement'!I7</f>
        <v>-1.797291268465617</v>
      </c>
      <c r="I34" s="15">
        <f>I25/'08_Revenue Requirement'!J7</f>
        <v>-1.5864413294402517</v>
      </c>
      <c r="J34" s="15">
        <f>J25/'08_Revenue Requirement'!K7</f>
        <v>-1.4515597683055073</v>
      </c>
      <c r="K34" s="15">
        <f>K25/'08_Revenue Requirement'!L7</f>
        <v>-1.2720970904475328</v>
      </c>
      <c r="L34" s="15">
        <f>L25/'08_Revenue Requirement'!M7</f>
        <v>-1.0200218830736143</v>
      </c>
      <c r="M34" s="15">
        <f>M25/'08_Revenue Requirement'!N7</f>
        <v>-0.92185120615932481</v>
      </c>
      <c r="N34" s="15">
        <f>N25/'08_Revenue Requirement'!O7</f>
        <v>-0.78700906744232513</v>
      </c>
    </row>
    <row r="35" spans="2:14" x14ac:dyDescent="0.3">
      <c r="B35" s="4" t="s">
        <v>588</v>
      </c>
      <c r="C35" s="9" t="s">
        <v>589</v>
      </c>
      <c r="D35" s="15"/>
      <c r="E35" s="15">
        <f t="shared" ref="E35:N35" si="14">E36/E28</f>
        <v>-0.15391910849379345</v>
      </c>
      <c r="F35" s="15">
        <f t="shared" si="14"/>
        <v>-0.15733666615603056</v>
      </c>
      <c r="G35" s="15">
        <f t="shared" si="14"/>
        <v>-0.17397139518870136</v>
      </c>
      <c r="H35" s="15">
        <f t="shared" si="14"/>
        <v>-0.18801782657681637</v>
      </c>
      <c r="I35" s="15">
        <f t="shared" si="14"/>
        <v>-0.21278069686028445</v>
      </c>
      <c r="J35" s="15">
        <f t="shared" si="14"/>
        <v>-0.23157413401805263</v>
      </c>
      <c r="K35" s="15">
        <f t="shared" si="14"/>
        <v>-0.26344541477739664</v>
      </c>
      <c r="L35" s="15">
        <f t="shared" si="14"/>
        <v>-0.32741449216723212</v>
      </c>
      <c r="M35" s="15">
        <f t="shared" si="14"/>
        <v>-0.36046865814462675</v>
      </c>
      <c r="N35" s="15">
        <f t="shared" si="14"/>
        <v>-0.41805803716272549</v>
      </c>
    </row>
    <row r="36" spans="2:14" x14ac:dyDescent="0.3">
      <c r="B36" s="4" t="s">
        <v>590</v>
      </c>
      <c r="C36" s="9" t="s">
        <v>591</v>
      </c>
      <c r="D36" s="15" t="s">
        <v>298</v>
      </c>
      <c r="E36" s="20">
        <v>5000000000</v>
      </c>
      <c r="F36" s="20">
        <v>5000000000</v>
      </c>
      <c r="G36" s="20">
        <v>5000000000</v>
      </c>
      <c r="H36" s="20">
        <v>5000000000</v>
      </c>
      <c r="I36" s="20">
        <v>5000000000</v>
      </c>
      <c r="J36" s="20">
        <v>5000000000</v>
      </c>
      <c r="K36" s="20">
        <v>5000000000</v>
      </c>
      <c r="L36" s="20">
        <v>5000000000</v>
      </c>
      <c r="M36" s="20">
        <v>5000000000</v>
      </c>
      <c r="N36" s="20">
        <v>5000000000</v>
      </c>
    </row>
    <row r="37" spans="2:14" ht="28.05" customHeight="1" x14ac:dyDescent="0.3">
      <c r="B37" s="112" t="s">
        <v>592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1"/>
    </row>
  </sheetData>
  <mergeCells count="7">
    <mergeCell ref="B2:N2"/>
    <mergeCell ref="B10:N10"/>
    <mergeCell ref="B5:N5"/>
    <mergeCell ref="B37:N37"/>
    <mergeCell ref="B18:N18"/>
    <mergeCell ref="B30:N30"/>
    <mergeCell ref="B3:N3"/>
  </mergeCells>
  <hyperlinks>
    <hyperlink ref="B1" location="'17_MiniGrid_EmbedGen'!A1" display="◄ Prev. Pg" xr:uid="{00000000-0004-0000-0E00-000000000000}"/>
    <hyperlink ref="C1" location="'Control Panel'!A1" display="◄◄◄ Control Panel" xr:uid="{00000000-0004-0000-0E00-000001000000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6064"/>
  </sheetPr>
  <dimension ref="B1:N38"/>
  <sheetViews>
    <sheetView topLeftCell="A16" zoomScale="85" zoomScaleNormal="85" workbookViewId="0">
      <selection activeCell="F35" sqref="F35"/>
    </sheetView>
  </sheetViews>
  <sheetFormatPr defaultRowHeight="14.4" x14ac:dyDescent="0.3"/>
  <cols>
    <col min="1" max="1" width="2" customWidth="1"/>
    <col min="2" max="2" width="9.21875" customWidth="1"/>
    <col min="3" max="3" width="47.77734375" bestFit="1" customWidth="1"/>
    <col min="4" max="4" width="6.6640625" bestFit="1" customWidth="1"/>
    <col min="5" max="14" width="16.44140625" bestFit="1" customWidth="1"/>
  </cols>
  <sheetData>
    <row r="1" spans="2:14" ht="13.05" customHeight="1" x14ac:dyDescent="0.3">
      <c r="B1" s="70" t="s">
        <v>0</v>
      </c>
      <c r="C1" s="70" t="s">
        <v>1</v>
      </c>
    </row>
    <row r="2" spans="2:14" ht="15.45" customHeight="1" x14ac:dyDescent="0.3">
      <c r="B2" s="143" t="s">
        <v>593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1"/>
    </row>
    <row r="3" spans="2:14" ht="36" customHeight="1" x14ac:dyDescent="0.3">
      <c r="B3" s="164" t="s">
        <v>594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1"/>
    </row>
    <row r="4" spans="2:14" ht="24" customHeight="1" x14ac:dyDescent="0.3">
      <c r="B4" s="44" t="s">
        <v>2</v>
      </c>
      <c r="C4" s="44" t="s">
        <v>124</v>
      </c>
      <c r="D4" s="44" t="s">
        <v>3</v>
      </c>
      <c r="E4" s="42" t="s">
        <v>545</v>
      </c>
      <c r="F4" s="42" t="s">
        <v>6</v>
      </c>
      <c r="G4" s="42" t="s">
        <v>7</v>
      </c>
      <c r="H4" s="42" t="s">
        <v>8</v>
      </c>
      <c r="I4" s="42" t="s">
        <v>9</v>
      </c>
      <c r="J4" s="43" t="s">
        <v>10</v>
      </c>
      <c r="K4" s="43" t="s">
        <v>11</v>
      </c>
      <c r="L4" s="43" t="s">
        <v>12</v>
      </c>
      <c r="M4" s="43" t="s">
        <v>13</v>
      </c>
      <c r="N4" s="43" t="s">
        <v>14</v>
      </c>
    </row>
    <row r="5" spans="2:14" ht="13.95" customHeight="1" x14ac:dyDescent="0.3">
      <c r="B5" s="142" t="s">
        <v>595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1"/>
    </row>
    <row r="6" spans="2:14" x14ac:dyDescent="0.3">
      <c r="B6" s="4" t="s">
        <v>596</v>
      </c>
      <c r="C6" s="9" t="s">
        <v>597</v>
      </c>
      <c r="D6" s="15" t="s">
        <v>298</v>
      </c>
      <c r="E6" s="20">
        <v>680000</v>
      </c>
      <c r="F6" s="20">
        <v>720000</v>
      </c>
      <c r="G6" s="20">
        <v>765000</v>
      </c>
      <c r="H6" s="20">
        <v>810000</v>
      </c>
      <c r="I6" s="20">
        <v>860000</v>
      </c>
      <c r="J6" s="20">
        <v>910000</v>
      </c>
      <c r="K6" s="20">
        <v>965000</v>
      </c>
      <c r="L6" s="20">
        <v>1020000</v>
      </c>
      <c r="M6" s="20">
        <v>1080000</v>
      </c>
      <c r="N6" s="20">
        <v>1145000</v>
      </c>
    </row>
    <row r="7" spans="2:14" ht="25.95" customHeight="1" x14ac:dyDescent="0.3">
      <c r="B7" s="4" t="s">
        <v>598</v>
      </c>
      <c r="C7" s="9" t="s">
        <v>599</v>
      </c>
      <c r="D7" s="15" t="s">
        <v>298</v>
      </c>
      <c r="E7" s="20">
        <v>42000</v>
      </c>
      <c r="F7" s="20">
        <v>44000</v>
      </c>
      <c r="G7" s="20">
        <v>47000</v>
      </c>
      <c r="H7" s="20">
        <v>50000</v>
      </c>
      <c r="I7" s="20">
        <v>53000</v>
      </c>
      <c r="J7" s="20">
        <v>56000</v>
      </c>
      <c r="K7" s="20">
        <v>60000</v>
      </c>
      <c r="L7" s="20">
        <v>63000</v>
      </c>
      <c r="M7" s="20">
        <v>67000</v>
      </c>
      <c r="N7" s="20">
        <v>71000</v>
      </c>
    </row>
    <row r="8" spans="2:14" ht="25.95" customHeight="1" x14ac:dyDescent="0.3">
      <c r="B8" s="4" t="s">
        <v>600</v>
      </c>
      <c r="C8" s="9" t="s">
        <v>601</v>
      </c>
      <c r="D8" s="15" t="s">
        <v>298</v>
      </c>
      <c r="E8" s="20">
        <v>15000</v>
      </c>
      <c r="F8" s="20">
        <v>16000</v>
      </c>
      <c r="G8" s="20">
        <v>17000</v>
      </c>
      <c r="H8" s="20">
        <v>18000</v>
      </c>
      <c r="I8" s="20">
        <v>19000</v>
      </c>
      <c r="J8" s="20">
        <v>20000</v>
      </c>
      <c r="K8" s="20">
        <v>21000</v>
      </c>
      <c r="L8" s="20">
        <v>22000</v>
      </c>
      <c r="M8" s="20">
        <v>24000</v>
      </c>
      <c r="N8" s="20">
        <v>25000</v>
      </c>
    </row>
    <row r="9" spans="2:14" x14ac:dyDescent="0.3">
      <c r="B9" s="4" t="s">
        <v>602</v>
      </c>
      <c r="C9" s="9" t="s">
        <v>603</v>
      </c>
      <c r="D9" s="15" t="s">
        <v>298</v>
      </c>
      <c r="E9" s="20">
        <v>70000</v>
      </c>
      <c r="F9" s="20">
        <v>70000</v>
      </c>
      <c r="G9" s="20">
        <v>70000</v>
      </c>
      <c r="H9" s="20">
        <v>70000</v>
      </c>
      <c r="I9" s="20">
        <v>70000</v>
      </c>
      <c r="J9" s="20">
        <v>70000</v>
      </c>
      <c r="K9" s="20">
        <v>70000</v>
      </c>
      <c r="L9" s="20">
        <v>70000</v>
      </c>
      <c r="M9" s="20">
        <v>70000</v>
      </c>
      <c r="N9" s="20">
        <v>70000</v>
      </c>
    </row>
    <row r="10" spans="2:14" x14ac:dyDescent="0.3">
      <c r="B10" s="4" t="s">
        <v>604</v>
      </c>
      <c r="C10" s="9" t="s">
        <v>605</v>
      </c>
      <c r="D10" s="15" t="s">
        <v>131</v>
      </c>
      <c r="E10" s="17">
        <v>0.18</v>
      </c>
      <c r="F10" s="17">
        <v>0.17</v>
      </c>
      <c r="G10" s="17">
        <v>0.16</v>
      </c>
      <c r="H10" s="17">
        <v>0.15</v>
      </c>
      <c r="I10" s="17">
        <v>0.14000000000000001</v>
      </c>
      <c r="J10" s="17">
        <v>0.13</v>
      </c>
      <c r="K10" s="17">
        <v>0.12</v>
      </c>
      <c r="L10" s="17">
        <v>0.11</v>
      </c>
      <c r="M10" s="17">
        <v>0.1</v>
      </c>
      <c r="N10" s="17">
        <v>0.1</v>
      </c>
    </row>
    <row r="12" spans="2:14" ht="13.95" customHeight="1" x14ac:dyDescent="0.3">
      <c r="B12" s="142" t="s">
        <v>606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1"/>
    </row>
    <row r="13" spans="2:14" ht="25.95" customHeight="1" x14ac:dyDescent="0.3">
      <c r="B13" s="4" t="s">
        <v>607</v>
      </c>
      <c r="C13" s="9" t="s">
        <v>608</v>
      </c>
      <c r="D13" s="15" t="s">
        <v>609</v>
      </c>
      <c r="E13" s="20">
        <v>50</v>
      </c>
      <c r="F13" s="36">
        <f>E13</f>
        <v>50</v>
      </c>
      <c r="G13" s="36">
        <f>E13</f>
        <v>50</v>
      </c>
      <c r="H13" s="36">
        <f>E13</f>
        <v>50</v>
      </c>
      <c r="I13" s="36">
        <f>E13</f>
        <v>50</v>
      </c>
      <c r="J13" s="36">
        <f>E13</f>
        <v>50</v>
      </c>
      <c r="K13" s="36">
        <f>E13</f>
        <v>50</v>
      </c>
      <c r="L13" s="36">
        <f>E13</f>
        <v>50</v>
      </c>
      <c r="M13" s="36">
        <f>E13</f>
        <v>50</v>
      </c>
      <c r="N13" s="36">
        <f>E13</f>
        <v>50</v>
      </c>
    </row>
    <row r="14" spans="2:14" x14ac:dyDescent="0.3">
      <c r="B14" s="4" t="s">
        <v>610</v>
      </c>
      <c r="C14" s="9" t="s">
        <v>611</v>
      </c>
      <c r="D14" s="15" t="s">
        <v>609</v>
      </c>
      <c r="E14" s="20">
        <v>150</v>
      </c>
      <c r="F14" s="36">
        <f>E14</f>
        <v>150</v>
      </c>
      <c r="G14" s="36">
        <f>E14</f>
        <v>150</v>
      </c>
      <c r="H14" s="36">
        <f>E14</f>
        <v>150</v>
      </c>
      <c r="I14" s="36">
        <f>E14</f>
        <v>150</v>
      </c>
      <c r="J14" s="36">
        <f>E14</f>
        <v>150</v>
      </c>
      <c r="K14" s="36">
        <f>E14</f>
        <v>150</v>
      </c>
      <c r="L14" s="36">
        <f>E14</f>
        <v>150</v>
      </c>
      <c r="M14" s="36">
        <f>E14</f>
        <v>150</v>
      </c>
      <c r="N14" s="36">
        <f>E14</f>
        <v>150</v>
      </c>
    </row>
    <row r="15" spans="2:14" ht="25.95" customHeight="1" x14ac:dyDescent="0.3">
      <c r="B15" s="4" t="s">
        <v>612</v>
      </c>
      <c r="C15" s="9" t="s">
        <v>613</v>
      </c>
      <c r="D15" s="15" t="s">
        <v>609</v>
      </c>
      <c r="E15" s="20">
        <v>5000</v>
      </c>
      <c r="F15" s="36">
        <f>E15</f>
        <v>5000</v>
      </c>
      <c r="G15" s="36">
        <f>E15</f>
        <v>5000</v>
      </c>
      <c r="H15" s="36">
        <f>E15</f>
        <v>5000</v>
      </c>
      <c r="I15" s="36">
        <f>E15</f>
        <v>5000</v>
      </c>
      <c r="J15" s="36">
        <f>E15</f>
        <v>5000</v>
      </c>
      <c r="K15" s="36">
        <f>E15</f>
        <v>5000</v>
      </c>
      <c r="L15" s="36">
        <f>E15</f>
        <v>5000</v>
      </c>
      <c r="M15" s="36">
        <f>E15</f>
        <v>5000</v>
      </c>
      <c r="N15" s="36">
        <f>E15</f>
        <v>5000</v>
      </c>
    </row>
    <row r="17" spans="2:14" ht="13.95" customHeight="1" x14ac:dyDescent="0.3">
      <c r="B17" s="142" t="s">
        <v>614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1"/>
    </row>
    <row r="18" spans="2:14" x14ac:dyDescent="0.3">
      <c r="B18" s="4" t="s">
        <v>615</v>
      </c>
      <c r="C18" s="2" t="s">
        <v>616</v>
      </c>
      <c r="D18" s="15" t="s">
        <v>17</v>
      </c>
      <c r="E18" s="66" t="e">
        <f>#REF!</f>
        <v>#REF!</v>
      </c>
      <c r="F18" s="66" t="e">
        <f>#REF!</f>
        <v>#REF!</v>
      </c>
      <c r="G18" s="66" t="e">
        <f>#REF!</f>
        <v>#REF!</v>
      </c>
      <c r="H18" s="66" t="e">
        <f>#REF!</f>
        <v>#REF!</v>
      </c>
      <c r="I18" s="66" t="e">
        <f>#REF!</f>
        <v>#REF!</v>
      </c>
      <c r="J18" s="66" t="e">
        <f>#REF!</f>
        <v>#REF!</v>
      </c>
      <c r="K18" s="66" t="e">
        <f>#REF!</f>
        <v>#REF!</v>
      </c>
      <c r="L18" s="66" t="e">
        <f>#REF!</f>
        <v>#REF!</v>
      </c>
      <c r="M18" s="66" t="e">
        <f>#REF!</f>
        <v>#REF!</v>
      </c>
      <c r="N18" s="66" t="e">
        <f>#REF!</f>
        <v>#REF!</v>
      </c>
    </row>
    <row r="19" spans="2:14" x14ac:dyDescent="0.3">
      <c r="B19" s="4" t="s">
        <v>617</v>
      </c>
      <c r="C19" s="2" t="s">
        <v>618</v>
      </c>
      <c r="D19" s="15" t="s">
        <v>298</v>
      </c>
      <c r="E19" s="21">
        <f>IFERROR(E18*E13,0)</f>
        <v>0</v>
      </c>
      <c r="F19" s="21">
        <f>IFERROR(F18*E13,0)</f>
        <v>0</v>
      </c>
      <c r="G19" s="21">
        <f>IFERROR(G18*E13,0)</f>
        <v>0</v>
      </c>
      <c r="H19" s="21">
        <f>IFERROR(H18*E13,0)</f>
        <v>0</v>
      </c>
      <c r="I19" s="21">
        <f>IFERROR(I18*E13,0)</f>
        <v>0</v>
      </c>
      <c r="J19" s="21">
        <f>IFERROR(J18*E13,0)</f>
        <v>0</v>
      </c>
      <c r="K19" s="21">
        <f>IFERROR(K18*E13,0)</f>
        <v>0</v>
      </c>
      <c r="L19" s="21">
        <f>IFERROR(L18*E13,0)</f>
        <v>0</v>
      </c>
      <c r="M19" s="21">
        <f>IFERROR(M18*E13,0)</f>
        <v>0</v>
      </c>
      <c r="N19" s="21">
        <f>IFERROR(N18*E13,0)</f>
        <v>0</v>
      </c>
    </row>
    <row r="20" spans="2:14" x14ac:dyDescent="0.3">
      <c r="B20" s="4" t="s">
        <v>619</v>
      </c>
      <c r="C20" s="2" t="s">
        <v>620</v>
      </c>
      <c r="D20" s="15" t="s">
        <v>298</v>
      </c>
      <c r="E20" s="21">
        <f>IFERROR(E18*E14,0)</f>
        <v>0</v>
      </c>
      <c r="F20" s="21">
        <f>IFERROR(F18*E14,0)</f>
        <v>0</v>
      </c>
      <c r="G20" s="21">
        <f>IFERROR(G18*E14,0)</f>
        <v>0</v>
      </c>
      <c r="H20" s="21">
        <f>IFERROR(H18*E14,0)</f>
        <v>0</v>
      </c>
      <c r="I20" s="21">
        <f>IFERROR(I18*E14,0)</f>
        <v>0</v>
      </c>
      <c r="J20" s="21">
        <f>IFERROR(J18*E14,0)</f>
        <v>0</v>
      </c>
      <c r="K20" s="21">
        <f>IFERROR(K18*E14,0)</f>
        <v>0</v>
      </c>
      <c r="L20" s="21">
        <f>IFERROR(L18*E14,0)</f>
        <v>0</v>
      </c>
      <c r="M20" s="21">
        <f>IFERROR(M18*E14,0)</f>
        <v>0</v>
      </c>
      <c r="N20" s="21">
        <f>IFERROR(N18*E14,0)</f>
        <v>0</v>
      </c>
    </row>
    <row r="22" spans="2:14" ht="13.95" customHeight="1" x14ac:dyDescent="0.3">
      <c r="B22" s="142" t="s">
        <v>621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1"/>
    </row>
    <row r="23" spans="2:14" ht="28.05" customHeight="1" x14ac:dyDescent="0.3">
      <c r="B23" s="112" t="s">
        <v>622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</row>
    <row r="24" spans="2:14" ht="25.95" customHeight="1" x14ac:dyDescent="0.3">
      <c r="B24" s="4" t="s">
        <v>623</v>
      </c>
      <c r="C24" s="9" t="s">
        <v>624</v>
      </c>
      <c r="D24" s="15" t="s">
        <v>625</v>
      </c>
      <c r="E24" s="58">
        <f t="shared" ref="E24:N24" si="0">IFERROR(E19/E8,0)</f>
        <v>0</v>
      </c>
      <c r="F24" s="58">
        <f t="shared" si="0"/>
        <v>0</v>
      </c>
      <c r="G24" s="58">
        <f t="shared" si="0"/>
        <v>0</v>
      </c>
      <c r="H24" s="58">
        <f t="shared" si="0"/>
        <v>0</v>
      </c>
      <c r="I24" s="58">
        <f t="shared" si="0"/>
        <v>0</v>
      </c>
      <c r="J24" s="58">
        <f t="shared" si="0"/>
        <v>0</v>
      </c>
      <c r="K24" s="58">
        <f t="shared" si="0"/>
        <v>0</v>
      </c>
      <c r="L24" s="58">
        <f t="shared" si="0"/>
        <v>0</v>
      </c>
      <c r="M24" s="58">
        <f t="shared" si="0"/>
        <v>0</v>
      </c>
      <c r="N24" s="58">
        <f t="shared" si="0"/>
        <v>0</v>
      </c>
    </row>
    <row r="25" spans="2:14" x14ac:dyDescent="0.3">
      <c r="B25" s="4" t="s">
        <v>626</v>
      </c>
      <c r="C25" s="59" t="s">
        <v>627</v>
      </c>
      <c r="D25" s="15"/>
      <c r="E25" s="60" t="str">
        <f t="shared" ref="E25:N25" si="1">IF(E24&lt;=0.05,"✓ AFFORDABLE","⚠ AFFORDABILITY RISK")</f>
        <v>✓ AFFORDABLE</v>
      </c>
      <c r="F25" s="60" t="str">
        <f t="shared" si="1"/>
        <v>✓ AFFORDABLE</v>
      </c>
      <c r="G25" s="60" t="str">
        <f t="shared" si="1"/>
        <v>✓ AFFORDABLE</v>
      </c>
      <c r="H25" s="60" t="str">
        <f t="shared" si="1"/>
        <v>✓ AFFORDABLE</v>
      </c>
      <c r="I25" s="60" t="str">
        <f t="shared" si="1"/>
        <v>✓ AFFORDABLE</v>
      </c>
      <c r="J25" s="60" t="str">
        <f t="shared" si="1"/>
        <v>✓ AFFORDABLE</v>
      </c>
      <c r="K25" s="60" t="str">
        <f t="shared" si="1"/>
        <v>✓ AFFORDABLE</v>
      </c>
      <c r="L25" s="60" t="str">
        <f t="shared" si="1"/>
        <v>✓ AFFORDABLE</v>
      </c>
      <c r="M25" s="60" t="str">
        <f t="shared" si="1"/>
        <v>✓ AFFORDABLE</v>
      </c>
      <c r="N25" s="60" t="str">
        <f t="shared" si="1"/>
        <v>✓ AFFORDABLE</v>
      </c>
    </row>
    <row r="26" spans="2:14" ht="25.95" customHeight="1" x14ac:dyDescent="0.3">
      <c r="B26" s="4" t="s">
        <v>628</v>
      </c>
      <c r="C26" s="9" t="s">
        <v>629</v>
      </c>
      <c r="D26" s="15" t="s">
        <v>625</v>
      </c>
      <c r="E26" s="58">
        <f t="shared" ref="E26:N26" si="2">IFERROR(E20/E7,0)</f>
        <v>0</v>
      </c>
      <c r="F26" s="58">
        <f t="shared" si="2"/>
        <v>0</v>
      </c>
      <c r="G26" s="58">
        <f t="shared" si="2"/>
        <v>0</v>
      </c>
      <c r="H26" s="58">
        <f t="shared" si="2"/>
        <v>0</v>
      </c>
      <c r="I26" s="58">
        <f t="shared" si="2"/>
        <v>0</v>
      </c>
      <c r="J26" s="58">
        <f t="shared" si="2"/>
        <v>0</v>
      </c>
      <c r="K26" s="58">
        <f t="shared" si="2"/>
        <v>0</v>
      </c>
      <c r="L26" s="58">
        <f t="shared" si="2"/>
        <v>0</v>
      </c>
      <c r="M26" s="58">
        <f t="shared" si="2"/>
        <v>0</v>
      </c>
      <c r="N26" s="58">
        <f t="shared" si="2"/>
        <v>0</v>
      </c>
    </row>
    <row r="27" spans="2:14" x14ac:dyDescent="0.3">
      <c r="B27" s="4" t="s">
        <v>630</v>
      </c>
      <c r="C27" s="59" t="s">
        <v>627</v>
      </c>
      <c r="D27" s="15"/>
      <c r="E27" s="60" t="str">
        <f t="shared" ref="E27:N27" si="3">IF(E26&lt;=0.05,"✓ AFFORDABLE","⚠ AFFORDABILITY RISK")</f>
        <v>✓ AFFORDABLE</v>
      </c>
      <c r="F27" s="60" t="str">
        <f t="shared" si="3"/>
        <v>✓ AFFORDABLE</v>
      </c>
      <c r="G27" s="60" t="str">
        <f t="shared" si="3"/>
        <v>✓ AFFORDABLE</v>
      </c>
      <c r="H27" s="60" t="str">
        <f t="shared" si="3"/>
        <v>✓ AFFORDABLE</v>
      </c>
      <c r="I27" s="60" t="str">
        <f t="shared" si="3"/>
        <v>✓ AFFORDABLE</v>
      </c>
      <c r="J27" s="60" t="str">
        <f t="shared" si="3"/>
        <v>✓ AFFORDABLE</v>
      </c>
      <c r="K27" s="60" t="str">
        <f t="shared" si="3"/>
        <v>✓ AFFORDABLE</v>
      </c>
      <c r="L27" s="60" t="str">
        <f t="shared" si="3"/>
        <v>✓ AFFORDABLE</v>
      </c>
      <c r="M27" s="60" t="str">
        <f t="shared" si="3"/>
        <v>✓ AFFORDABLE</v>
      </c>
      <c r="N27" s="60" t="str">
        <f t="shared" si="3"/>
        <v>✓ AFFORDABLE</v>
      </c>
    </row>
    <row r="28" spans="2:14" x14ac:dyDescent="0.3">
      <c r="B28" s="4" t="s">
        <v>631</v>
      </c>
      <c r="C28" s="9" t="s">
        <v>632</v>
      </c>
      <c r="D28" s="15" t="s">
        <v>625</v>
      </c>
      <c r="E28" s="58">
        <f t="shared" ref="E28:N28" si="4">IFERROR(E19/E9,0)</f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</row>
    <row r="29" spans="2:14" x14ac:dyDescent="0.3">
      <c r="B29" s="4" t="s">
        <v>633</v>
      </c>
      <c r="C29" s="59" t="s">
        <v>634</v>
      </c>
      <c r="D29" s="15"/>
      <c r="E29" s="60" t="str">
        <f t="shared" ref="E29:N29" si="5">IF(E28&lt;=0.03,"✓ AFFORDABLE","⚠ AFFORDABILITY RISK")</f>
        <v>✓ AFFORDABLE</v>
      </c>
      <c r="F29" s="60" t="str">
        <f t="shared" si="5"/>
        <v>✓ AFFORDABLE</v>
      </c>
      <c r="G29" s="60" t="str">
        <f t="shared" si="5"/>
        <v>✓ AFFORDABLE</v>
      </c>
      <c r="H29" s="60" t="str">
        <f t="shared" si="5"/>
        <v>✓ AFFORDABLE</v>
      </c>
      <c r="I29" s="60" t="str">
        <f t="shared" si="5"/>
        <v>✓ AFFORDABLE</v>
      </c>
      <c r="J29" s="60" t="str">
        <f t="shared" si="5"/>
        <v>✓ AFFORDABLE</v>
      </c>
      <c r="K29" s="60" t="str">
        <f t="shared" si="5"/>
        <v>✓ AFFORDABLE</v>
      </c>
      <c r="L29" s="60" t="str">
        <f t="shared" si="5"/>
        <v>✓ AFFORDABLE</v>
      </c>
      <c r="M29" s="60" t="str">
        <f t="shared" si="5"/>
        <v>✓ AFFORDABLE</v>
      </c>
      <c r="N29" s="60" t="str">
        <f t="shared" si="5"/>
        <v>✓ AFFORDABLE</v>
      </c>
    </row>
    <row r="31" spans="2:14" ht="13.95" customHeight="1" x14ac:dyDescent="0.3">
      <c r="B31" s="164" t="s">
        <v>635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1"/>
    </row>
    <row r="32" spans="2:14" ht="36" customHeight="1" x14ac:dyDescent="0.3"/>
    <row r="33" spans="2:14" ht="25.95" customHeight="1" x14ac:dyDescent="0.3">
      <c r="B33" s="4" t="s">
        <v>636</v>
      </c>
      <c r="C33" s="9" t="s">
        <v>637</v>
      </c>
      <c r="D33" s="15" t="s">
        <v>17</v>
      </c>
      <c r="E33" s="33">
        <v>50</v>
      </c>
      <c r="F33" s="33"/>
      <c r="G33" s="33"/>
      <c r="H33" s="33"/>
      <c r="I33" s="33"/>
      <c r="J33" s="33"/>
      <c r="K33" s="33"/>
      <c r="L33" s="33"/>
      <c r="M33" s="33"/>
      <c r="N33" s="33"/>
    </row>
    <row r="34" spans="2:14" x14ac:dyDescent="0.3">
      <c r="B34" s="4" t="s">
        <v>638</v>
      </c>
      <c r="C34" s="9" t="s">
        <v>639</v>
      </c>
      <c r="D34" s="15" t="s">
        <v>609</v>
      </c>
      <c r="E34" s="20">
        <v>20</v>
      </c>
      <c r="F34" s="20"/>
      <c r="G34" s="20"/>
      <c r="H34" s="20"/>
      <c r="I34" s="20"/>
      <c r="J34" s="20"/>
      <c r="K34" s="20"/>
      <c r="L34" s="20"/>
      <c r="M34" s="20"/>
      <c r="N34" s="20"/>
    </row>
    <row r="35" spans="2:14" ht="25.95" customHeight="1" x14ac:dyDescent="0.3">
      <c r="B35" s="4" t="s">
        <v>640</v>
      </c>
      <c r="C35" s="9" t="s">
        <v>641</v>
      </c>
      <c r="D35" s="15" t="s">
        <v>298</v>
      </c>
      <c r="E35" s="15" t="s">
        <v>642</v>
      </c>
      <c r="F35" s="15" t="s">
        <v>642</v>
      </c>
      <c r="G35" s="15" t="s">
        <v>642</v>
      </c>
      <c r="H35" s="15" t="s">
        <v>642</v>
      </c>
      <c r="I35" s="15" t="s">
        <v>642</v>
      </c>
      <c r="J35" s="15" t="s">
        <v>642</v>
      </c>
      <c r="K35" s="15" t="s">
        <v>642</v>
      </c>
      <c r="L35" s="15" t="s">
        <v>642</v>
      </c>
      <c r="M35" s="15" t="s">
        <v>642</v>
      </c>
      <c r="N35" s="15" t="s">
        <v>642</v>
      </c>
    </row>
    <row r="36" spans="2:14" ht="25.95" customHeight="1" x14ac:dyDescent="0.3">
      <c r="B36" s="4" t="s">
        <v>643</v>
      </c>
      <c r="C36" s="9" t="s">
        <v>644</v>
      </c>
      <c r="D36" s="15" t="s">
        <v>17</v>
      </c>
      <c r="E36" s="15" t="s">
        <v>642</v>
      </c>
      <c r="F36" s="15" t="s">
        <v>642</v>
      </c>
      <c r="G36" s="15" t="s">
        <v>642</v>
      </c>
      <c r="H36" s="15" t="s">
        <v>642</v>
      </c>
      <c r="I36" s="15" t="s">
        <v>642</v>
      </c>
      <c r="J36" s="15" t="s">
        <v>642</v>
      </c>
      <c r="K36" s="15" t="s">
        <v>642</v>
      </c>
      <c r="L36" s="15" t="s">
        <v>642</v>
      </c>
      <c r="M36" s="15" t="s">
        <v>642</v>
      </c>
      <c r="N36" s="15" t="s">
        <v>642</v>
      </c>
    </row>
    <row r="38" spans="2:14" ht="36" customHeight="1" x14ac:dyDescent="0.3">
      <c r="B38" s="112" t="s">
        <v>645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1"/>
    </row>
  </sheetData>
  <mergeCells count="9">
    <mergeCell ref="B38:N38"/>
    <mergeCell ref="B17:N17"/>
    <mergeCell ref="B12:N12"/>
    <mergeCell ref="B3:N3"/>
    <mergeCell ref="B2:N2"/>
    <mergeCell ref="B5:N5"/>
    <mergeCell ref="B22:N22"/>
    <mergeCell ref="B31:N31"/>
    <mergeCell ref="B23:N23"/>
  </mergeCells>
  <hyperlinks>
    <hyperlink ref="B1" location="'18_Investor_Returns'!A1" display="◄ Prev. Pg" xr:uid="{00000000-0004-0000-0F00-000000000000}"/>
    <hyperlink ref="C1" location="'Control Panel'!A1" display="◄◄◄ Control Panel" xr:uid="{00000000-0004-0000-0F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B2B2B"/>
  </sheetPr>
  <dimension ref="A1:F15"/>
  <sheetViews>
    <sheetView showGridLines="0" zoomScale="74" workbookViewId="0"/>
  </sheetViews>
  <sheetFormatPr defaultColWidth="0" defaultRowHeight="14.4" x14ac:dyDescent="0.3"/>
  <cols>
    <col min="1" max="1" width="6.88671875" customWidth="1"/>
    <col min="2" max="2" width="7.44140625" customWidth="1"/>
    <col min="3" max="3" width="40" customWidth="1"/>
    <col min="4" max="4" width="65.33203125" customWidth="1"/>
    <col min="5" max="5" width="20" customWidth="1"/>
    <col min="6" max="6" width="8.77734375" customWidth="1"/>
    <col min="7" max="7" width="8.77734375" hidden="1" customWidth="1"/>
    <col min="8" max="16384" width="8.77734375" hidden="1"/>
  </cols>
  <sheetData>
    <row r="1" spans="2:5" ht="13.05" customHeight="1" x14ac:dyDescent="0.3">
      <c r="B1" s="70" t="s">
        <v>67</v>
      </c>
      <c r="C1" s="7"/>
    </row>
    <row r="2" spans="2:5" ht="16.95" customHeight="1" x14ac:dyDescent="0.3">
      <c r="B2" s="134" t="s">
        <v>68</v>
      </c>
      <c r="C2" s="110"/>
      <c r="D2" s="110"/>
      <c r="E2" s="111"/>
    </row>
    <row r="3" spans="2:5" x14ac:dyDescent="0.3">
      <c r="B3" s="136" t="s">
        <v>69</v>
      </c>
      <c r="C3" s="110"/>
      <c r="D3" s="110"/>
      <c r="E3" s="111"/>
    </row>
    <row r="5" spans="2:5" x14ac:dyDescent="0.3">
      <c r="B5" s="135" t="s">
        <v>70</v>
      </c>
      <c r="C5" s="110"/>
      <c r="D5" s="110"/>
      <c r="E5" s="111"/>
    </row>
    <row r="6" spans="2:5" ht="25.95" customHeight="1" x14ac:dyDescent="0.3">
      <c r="B6" s="8" t="s">
        <v>71</v>
      </c>
      <c r="C6" s="78" t="s">
        <v>72</v>
      </c>
      <c r="D6" s="9" t="s">
        <v>73</v>
      </c>
      <c r="E6" s="79" t="s">
        <v>74</v>
      </c>
    </row>
    <row r="7" spans="2:5" ht="25.95" customHeight="1" x14ac:dyDescent="0.3">
      <c r="B7" s="8" t="s">
        <v>75</v>
      </c>
      <c r="C7" s="78" t="s">
        <v>647</v>
      </c>
      <c r="D7" s="9" t="s">
        <v>88</v>
      </c>
      <c r="E7" s="79" t="s">
        <v>74</v>
      </c>
    </row>
    <row r="8" spans="2:5" x14ac:dyDescent="0.3">
      <c r="B8" s="135" t="s">
        <v>76</v>
      </c>
      <c r="C8" s="110"/>
      <c r="D8" s="110"/>
      <c r="E8" s="111"/>
    </row>
    <row r="9" spans="2:5" ht="25.95" customHeight="1" x14ac:dyDescent="0.3">
      <c r="B9" s="8" t="s">
        <v>77</v>
      </c>
      <c r="C9" s="76" t="s">
        <v>78</v>
      </c>
      <c r="D9" s="9" t="s">
        <v>79</v>
      </c>
      <c r="E9" s="77" t="s">
        <v>80</v>
      </c>
    </row>
    <row r="10" spans="2:5" x14ac:dyDescent="0.3">
      <c r="B10" s="8" t="s">
        <v>81</v>
      </c>
      <c r="C10" s="76" t="s">
        <v>82</v>
      </c>
      <c r="D10" s="9" t="s">
        <v>83</v>
      </c>
      <c r="E10" s="77" t="s">
        <v>80</v>
      </c>
    </row>
    <row r="11" spans="2:5" ht="25.95" customHeight="1" x14ac:dyDescent="0.3">
      <c r="B11" s="8" t="s">
        <v>84</v>
      </c>
      <c r="C11" s="76" t="s">
        <v>85</v>
      </c>
      <c r="D11" s="9" t="s">
        <v>86</v>
      </c>
      <c r="E11" s="77" t="s">
        <v>80</v>
      </c>
    </row>
    <row r="12" spans="2:5" x14ac:dyDescent="0.3">
      <c r="B12" s="135" t="s">
        <v>89</v>
      </c>
      <c r="C12" s="110"/>
      <c r="D12" s="110"/>
      <c r="E12" s="111"/>
    </row>
    <row r="13" spans="2:5" ht="25.95" customHeight="1" x14ac:dyDescent="0.3">
      <c r="B13" s="8" t="s">
        <v>90</v>
      </c>
      <c r="C13" s="10" t="s">
        <v>648</v>
      </c>
      <c r="D13" s="9" t="s">
        <v>91</v>
      </c>
      <c r="E13" s="11" t="s">
        <v>92</v>
      </c>
    </row>
    <row r="14" spans="2:5" x14ac:dyDescent="0.3">
      <c r="B14" s="8" t="s">
        <v>93</v>
      </c>
      <c r="C14" s="10" t="s">
        <v>649</v>
      </c>
      <c r="D14" s="9" t="s">
        <v>94</v>
      </c>
      <c r="E14" s="11" t="s">
        <v>92</v>
      </c>
    </row>
    <row r="15" spans="2:5" x14ac:dyDescent="0.3">
      <c r="B15" s="8" t="s">
        <v>95</v>
      </c>
      <c r="C15" s="10" t="s">
        <v>650</v>
      </c>
      <c r="D15" s="9" t="s">
        <v>651</v>
      </c>
      <c r="E15" s="11" t="s">
        <v>92</v>
      </c>
    </row>
  </sheetData>
  <mergeCells count="5">
    <mergeCell ref="B2:E2"/>
    <mergeCell ref="B8:E8"/>
    <mergeCell ref="B12:E12"/>
    <mergeCell ref="B3:E3"/>
    <mergeCell ref="B5:E5"/>
  </mergeCells>
  <hyperlinks>
    <hyperlink ref="B1" location="Cover!A1" display="◄ Previous Page" xr:uid="{00000000-0004-0000-0100-00000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A5568"/>
  </sheetPr>
  <dimension ref="A1:D39"/>
  <sheetViews>
    <sheetView showGridLines="0" topLeftCell="A16" zoomScale="88" workbookViewId="0">
      <selection activeCell="B49" sqref="B49"/>
    </sheetView>
  </sheetViews>
  <sheetFormatPr defaultColWidth="0" defaultRowHeight="14.4" x14ac:dyDescent="0.3"/>
  <cols>
    <col min="1" max="1" width="2" customWidth="1"/>
    <col min="2" max="2" width="70" customWidth="1"/>
    <col min="3" max="3" width="30" customWidth="1"/>
    <col min="4" max="4" width="3.21875" customWidth="1"/>
    <col min="5" max="6" width="8.77734375" hidden="1" customWidth="1"/>
    <col min="7" max="16384" width="8.77734375" hidden="1"/>
  </cols>
  <sheetData>
    <row r="1" spans="2:3" ht="13.05" customHeight="1" x14ac:dyDescent="0.3">
      <c r="B1" s="70" t="s">
        <v>67</v>
      </c>
      <c r="C1" s="70" t="s">
        <v>1</v>
      </c>
    </row>
    <row r="2" spans="2:3" ht="16.95" customHeight="1" x14ac:dyDescent="0.3">
      <c r="B2" s="134" t="s">
        <v>96</v>
      </c>
      <c r="C2" s="111"/>
    </row>
    <row r="3" spans="2:3" x14ac:dyDescent="0.3">
      <c r="B3" s="137" t="s">
        <v>97</v>
      </c>
      <c r="C3" s="111"/>
    </row>
    <row r="5" spans="2:3" ht="16.05" customHeight="1" x14ac:dyDescent="0.3">
      <c r="B5" s="141" t="s">
        <v>98</v>
      </c>
      <c r="C5" s="111"/>
    </row>
    <row r="6" spans="2:3" ht="30" customHeight="1" x14ac:dyDescent="0.3">
      <c r="B6" s="139" t="s">
        <v>99</v>
      </c>
      <c r="C6" s="117"/>
    </row>
    <row r="7" spans="2:3" ht="30" customHeight="1" x14ac:dyDescent="0.3">
      <c r="B7" s="139" t="s">
        <v>100</v>
      </c>
      <c r="C7" s="117"/>
    </row>
    <row r="8" spans="2:3" ht="30" customHeight="1" x14ac:dyDescent="0.3"/>
    <row r="9" spans="2:3" ht="30" customHeight="1" x14ac:dyDescent="0.3">
      <c r="B9" s="67" t="s">
        <v>101</v>
      </c>
      <c r="C9" s="68"/>
    </row>
    <row r="10" spans="2:3" ht="30" customHeight="1" x14ac:dyDescent="0.3">
      <c r="B10" s="139" t="s">
        <v>102</v>
      </c>
      <c r="C10" s="117"/>
    </row>
    <row r="11" spans="2:3" ht="30" customHeight="1" x14ac:dyDescent="0.3">
      <c r="B11" s="139" t="s">
        <v>103</v>
      </c>
      <c r="C11" s="117"/>
    </row>
    <row r="12" spans="2:3" ht="30" customHeight="1" x14ac:dyDescent="0.3"/>
    <row r="13" spans="2:3" ht="30" customHeight="1" x14ac:dyDescent="0.3">
      <c r="B13" s="69" t="s">
        <v>104</v>
      </c>
      <c r="C13" s="68"/>
    </row>
    <row r="14" spans="2:3" ht="30" customHeight="1" x14ac:dyDescent="0.3">
      <c r="B14" s="138" t="s">
        <v>105</v>
      </c>
      <c r="C14" s="117"/>
    </row>
    <row r="15" spans="2:3" ht="30" customHeight="1" x14ac:dyDescent="0.3">
      <c r="B15" s="138" t="s">
        <v>106</v>
      </c>
      <c r="C15" s="117"/>
    </row>
    <row r="16" spans="2:3" ht="30" customHeight="1" x14ac:dyDescent="0.3">
      <c r="B16" s="138" t="s">
        <v>107</v>
      </c>
      <c r="C16" s="117"/>
    </row>
    <row r="17" spans="2:3" ht="30" customHeight="1" x14ac:dyDescent="0.3">
      <c r="B17" s="138" t="s">
        <v>108</v>
      </c>
      <c r="C17" s="117"/>
    </row>
    <row r="18" spans="2:3" ht="30" customHeight="1" x14ac:dyDescent="0.3">
      <c r="B18" s="138" t="s">
        <v>109</v>
      </c>
      <c r="C18" s="117"/>
    </row>
    <row r="19" spans="2:3" ht="30" customHeight="1" x14ac:dyDescent="0.3">
      <c r="B19" s="138" t="s">
        <v>110</v>
      </c>
      <c r="C19" s="117"/>
    </row>
    <row r="20" spans="2:3" ht="30" customHeight="1" x14ac:dyDescent="0.3">
      <c r="B20" s="138" t="s">
        <v>111</v>
      </c>
      <c r="C20" s="117"/>
    </row>
    <row r="21" spans="2:3" ht="30" customHeight="1" x14ac:dyDescent="0.3">
      <c r="B21" s="138" t="s">
        <v>112</v>
      </c>
      <c r="C21" s="117"/>
    </row>
    <row r="22" spans="2:3" ht="30" customHeight="1" x14ac:dyDescent="0.3">
      <c r="B22" s="138" t="s">
        <v>113</v>
      </c>
      <c r="C22" s="117"/>
    </row>
    <row r="23" spans="2:3" ht="30" customHeight="1" x14ac:dyDescent="0.3">
      <c r="B23" s="138" t="s">
        <v>114</v>
      </c>
      <c r="C23" s="117"/>
    </row>
    <row r="24" spans="2:3" ht="30" customHeight="1" x14ac:dyDescent="0.3">
      <c r="B24" s="138" t="s">
        <v>115</v>
      </c>
      <c r="C24" s="117"/>
    </row>
    <row r="25" spans="2:3" ht="30" customHeight="1" x14ac:dyDescent="0.3"/>
    <row r="26" spans="2:3" ht="30" customHeight="1" x14ac:dyDescent="0.3">
      <c r="B26" s="69" t="s">
        <v>116</v>
      </c>
      <c r="C26" s="68"/>
    </row>
    <row r="27" spans="2:3" ht="30" customHeight="1" x14ac:dyDescent="0.3">
      <c r="B27" s="139" t="s">
        <v>117</v>
      </c>
      <c r="C27" s="117"/>
    </row>
    <row r="28" spans="2:3" ht="30" customHeight="1" x14ac:dyDescent="0.3">
      <c r="B28" s="139" t="s">
        <v>118</v>
      </c>
      <c r="C28" s="117"/>
    </row>
    <row r="29" spans="2:3" ht="30" customHeight="1" x14ac:dyDescent="0.3">
      <c r="B29" s="139" t="s">
        <v>119</v>
      </c>
      <c r="C29" s="117"/>
    </row>
    <row r="30" spans="2:3" ht="30" customHeight="1" x14ac:dyDescent="0.3"/>
    <row r="31" spans="2:3" ht="16.05" customHeight="1" x14ac:dyDescent="0.3">
      <c r="B31" s="69" t="s">
        <v>120</v>
      </c>
      <c r="C31" s="68"/>
    </row>
    <row r="32" spans="2:3" ht="22.05" customHeight="1" x14ac:dyDescent="0.3">
      <c r="B32" s="140" t="s">
        <v>59</v>
      </c>
      <c r="C32" s="117"/>
    </row>
    <row r="33" spans="2:3" ht="22.05" customHeight="1" x14ac:dyDescent="0.3">
      <c r="B33" s="140" t="s">
        <v>60</v>
      </c>
      <c r="C33" s="117"/>
    </row>
    <row r="34" spans="2:3" ht="22.05" customHeight="1" x14ac:dyDescent="0.3">
      <c r="B34" s="140" t="s">
        <v>61</v>
      </c>
      <c r="C34" s="117"/>
    </row>
    <row r="35" spans="2:3" ht="22.05" customHeight="1" x14ac:dyDescent="0.3">
      <c r="B35" s="140" t="s">
        <v>62</v>
      </c>
      <c r="C35" s="117"/>
    </row>
    <row r="36" spans="2:3" ht="22.05" customHeight="1" x14ac:dyDescent="0.3">
      <c r="B36" s="140" t="s">
        <v>63</v>
      </c>
      <c r="C36" s="117"/>
    </row>
    <row r="37" spans="2:3" ht="22.05" customHeight="1" x14ac:dyDescent="0.3">
      <c r="B37" s="140" t="s">
        <v>64</v>
      </c>
      <c r="C37" s="117"/>
    </row>
    <row r="38" spans="2:3" ht="22.05" customHeight="1" x14ac:dyDescent="0.3">
      <c r="B38" s="140" t="s">
        <v>65</v>
      </c>
      <c r="C38" s="117"/>
    </row>
    <row r="39" spans="2:3" ht="22.05" customHeight="1" x14ac:dyDescent="0.3">
      <c r="B39" s="140" t="s">
        <v>66</v>
      </c>
      <c r="C39" s="117"/>
    </row>
  </sheetData>
  <mergeCells count="29">
    <mergeCell ref="B33:C33"/>
    <mergeCell ref="B5:C5"/>
    <mergeCell ref="B20:C20"/>
    <mergeCell ref="B36:C36"/>
    <mergeCell ref="B32:C32"/>
    <mergeCell ref="B35:C35"/>
    <mergeCell ref="B16:C16"/>
    <mergeCell ref="B7:C7"/>
    <mergeCell ref="B39:C39"/>
    <mergeCell ref="B21:C21"/>
    <mergeCell ref="B2:C2"/>
    <mergeCell ref="B11:C11"/>
    <mergeCell ref="B23:C23"/>
    <mergeCell ref="B14:C14"/>
    <mergeCell ref="B17:C17"/>
    <mergeCell ref="B38:C38"/>
    <mergeCell ref="B29:C29"/>
    <mergeCell ref="B19:C19"/>
    <mergeCell ref="B34:C34"/>
    <mergeCell ref="B37:C37"/>
    <mergeCell ref="B10:C10"/>
    <mergeCell ref="B28:C28"/>
    <mergeCell ref="B6:C6"/>
    <mergeCell ref="B24:C24"/>
    <mergeCell ref="B3:C3"/>
    <mergeCell ref="B22:C22"/>
    <mergeCell ref="B27:C27"/>
    <mergeCell ref="B18:C18"/>
    <mergeCell ref="B15:C15"/>
  </mergeCells>
  <hyperlinks>
    <hyperlink ref="B1" location="'Control Panel'!A1" display="◄ Previous Page" xr:uid="{00000000-0004-0000-0200-000000000000}"/>
    <hyperlink ref="C1" location="'Control Panel'!A1" display="◄◄◄ Control Panel" xr:uid="{00000000-0004-0000-0200-000001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A237E"/>
  </sheetPr>
  <dimension ref="B1:Q31"/>
  <sheetViews>
    <sheetView showGridLines="0" zoomScale="73" workbookViewId="0">
      <selection activeCell="H9" sqref="H9"/>
    </sheetView>
  </sheetViews>
  <sheetFormatPr defaultRowHeight="14.4" x14ac:dyDescent="0.3"/>
  <cols>
    <col min="1" max="1" width="2" customWidth="1"/>
    <col min="2" max="2" width="7.77734375" customWidth="1"/>
    <col min="3" max="3" width="42.88671875" bestFit="1" customWidth="1"/>
    <col min="4" max="4" width="6.5546875" bestFit="1" customWidth="1"/>
    <col min="5" max="5" width="18.5546875" bestFit="1" customWidth="1"/>
    <col min="6" max="7" width="12" customWidth="1"/>
    <col min="8" max="17" width="13" customWidth="1"/>
  </cols>
  <sheetData>
    <row r="1" spans="2:17" ht="13.05" customHeight="1" x14ac:dyDescent="0.3">
      <c r="B1" s="70" t="s">
        <v>0</v>
      </c>
      <c r="C1" s="70" t="s">
        <v>1</v>
      </c>
    </row>
    <row r="2" spans="2:17" ht="15.45" customHeight="1" x14ac:dyDescent="0.3">
      <c r="B2" s="143" t="s">
        <v>121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1"/>
    </row>
    <row r="3" spans="2:17" ht="24" customHeight="1" x14ac:dyDescent="0.3">
      <c r="B3" s="112" t="s">
        <v>122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1"/>
    </row>
    <row r="4" spans="2:17" ht="24" customHeight="1" x14ac:dyDescent="0.3">
      <c r="B4" s="12" t="s">
        <v>123</v>
      </c>
      <c r="C4" s="12" t="s">
        <v>124</v>
      </c>
      <c r="D4" s="12" t="s">
        <v>3</v>
      </c>
      <c r="E4" s="12" t="s">
        <v>125</v>
      </c>
      <c r="F4" s="12" t="s">
        <v>126</v>
      </c>
      <c r="G4" s="12" t="s">
        <v>127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2" t="s">
        <v>14</v>
      </c>
    </row>
    <row r="5" spans="2:17" x14ac:dyDescent="0.3">
      <c r="B5" s="13"/>
      <c r="C5" s="13"/>
      <c r="D5" s="13"/>
      <c r="E5" s="13"/>
      <c r="F5" s="61"/>
      <c r="G5" s="61"/>
      <c r="H5" s="14" t="s">
        <v>15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  <c r="P5" s="14" t="s">
        <v>16</v>
      </c>
      <c r="Q5" s="14" t="s">
        <v>16</v>
      </c>
    </row>
    <row r="6" spans="2:17" ht="13.95" customHeight="1" x14ac:dyDescent="0.3">
      <c r="B6" s="142" t="s">
        <v>128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1"/>
    </row>
    <row r="7" spans="2:17" x14ac:dyDescent="0.3">
      <c r="B7" s="4" t="s">
        <v>129</v>
      </c>
      <c r="C7" s="2" t="s">
        <v>130</v>
      </c>
      <c r="D7" s="15" t="s">
        <v>131</v>
      </c>
      <c r="E7" s="82" t="s">
        <v>132</v>
      </c>
      <c r="F7" s="83"/>
      <c r="G7" s="83"/>
      <c r="H7" s="84">
        <v>0.7</v>
      </c>
      <c r="I7" s="84">
        <v>0.7</v>
      </c>
      <c r="J7" s="84">
        <v>0.7</v>
      </c>
      <c r="K7" s="84">
        <v>0.7</v>
      </c>
      <c r="L7" s="84">
        <v>0.7</v>
      </c>
      <c r="M7" s="84">
        <v>0.7</v>
      </c>
      <c r="N7" s="84">
        <v>0.7</v>
      </c>
      <c r="O7" s="84">
        <v>0.7</v>
      </c>
      <c r="P7" s="84">
        <v>0.7</v>
      </c>
      <c r="Q7" s="84">
        <v>0.7</v>
      </c>
    </row>
    <row r="8" spans="2:17" x14ac:dyDescent="0.3">
      <c r="B8" s="4" t="s">
        <v>133</v>
      </c>
      <c r="C8" s="2" t="s">
        <v>134</v>
      </c>
      <c r="D8" s="15" t="s">
        <v>131</v>
      </c>
      <c r="E8" s="80" t="s">
        <v>135</v>
      </c>
      <c r="F8" s="80"/>
      <c r="G8" s="80"/>
      <c r="H8" s="81">
        <f t="shared" ref="H8:Q8" si="0">1-H7</f>
        <v>0.30000000000000004</v>
      </c>
      <c r="I8" s="81">
        <f t="shared" si="0"/>
        <v>0.30000000000000004</v>
      </c>
      <c r="J8" s="81">
        <f t="shared" si="0"/>
        <v>0.30000000000000004</v>
      </c>
      <c r="K8" s="81">
        <f t="shared" si="0"/>
        <v>0.30000000000000004</v>
      </c>
      <c r="L8" s="81">
        <f t="shared" si="0"/>
        <v>0.30000000000000004</v>
      </c>
      <c r="M8" s="81">
        <f t="shared" si="0"/>
        <v>0.30000000000000004</v>
      </c>
      <c r="N8" s="81">
        <f t="shared" si="0"/>
        <v>0.30000000000000004</v>
      </c>
      <c r="O8" s="81">
        <f t="shared" si="0"/>
        <v>0.30000000000000004</v>
      </c>
      <c r="P8" s="81">
        <f t="shared" si="0"/>
        <v>0.30000000000000004</v>
      </c>
      <c r="Q8" s="81">
        <f t="shared" si="0"/>
        <v>0.30000000000000004</v>
      </c>
    </row>
    <row r="9" spans="2:17" x14ac:dyDescent="0.3">
      <c r="B9" s="4" t="s">
        <v>136</v>
      </c>
      <c r="C9" s="2" t="s">
        <v>137</v>
      </c>
      <c r="D9" s="15" t="s">
        <v>131</v>
      </c>
      <c r="E9" s="82" t="s">
        <v>132</v>
      </c>
      <c r="F9" s="83"/>
      <c r="G9" s="83"/>
      <c r="H9" s="84">
        <v>0.3</v>
      </c>
      <c r="I9" s="84">
        <v>0.3</v>
      </c>
      <c r="J9" s="84">
        <v>0.3</v>
      </c>
      <c r="K9" s="84">
        <v>0.3</v>
      </c>
      <c r="L9" s="84">
        <v>0.3</v>
      </c>
      <c r="M9" s="84">
        <v>0.3</v>
      </c>
      <c r="N9" s="84">
        <v>0.3</v>
      </c>
      <c r="O9" s="84">
        <v>0.3</v>
      </c>
      <c r="P9" s="84">
        <v>0.3</v>
      </c>
      <c r="Q9" s="84">
        <v>0.3</v>
      </c>
    </row>
    <row r="10" spans="2:17" x14ac:dyDescent="0.3">
      <c r="B10" s="4" t="s">
        <v>138</v>
      </c>
      <c r="C10" s="2" t="s">
        <v>139</v>
      </c>
      <c r="D10" s="15" t="s">
        <v>131</v>
      </c>
      <c r="E10" s="82" t="s">
        <v>132</v>
      </c>
      <c r="F10" s="83"/>
      <c r="G10" s="83"/>
      <c r="H10" s="84">
        <v>0.26</v>
      </c>
      <c r="I10" s="84">
        <v>0.26</v>
      </c>
      <c r="J10" s="84">
        <v>0.26</v>
      </c>
      <c r="K10" s="84">
        <v>0.26</v>
      </c>
      <c r="L10" s="84">
        <v>0.26</v>
      </c>
      <c r="M10" s="84">
        <v>0.26</v>
      </c>
      <c r="N10" s="84">
        <v>0.26</v>
      </c>
      <c r="O10" s="84">
        <v>0.26</v>
      </c>
      <c r="P10" s="84">
        <v>0.26</v>
      </c>
      <c r="Q10" s="84">
        <v>0.26</v>
      </c>
    </row>
    <row r="11" spans="2:17" x14ac:dyDescent="0.3">
      <c r="B11" s="4" t="s">
        <v>140</v>
      </c>
      <c r="C11" s="2" t="s">
        <v>141</v>
      </c>
      <c r="D11" s="15" t="s">
        <v>131</v>
      </c>
      <c r="E11" s="82" t="s">
        <v>132</v>
      </c>
      <c r="F11" s="83"/>
      <c r="G11" s="83"/>
      <c r="H11" s="84">
        <v>0.23</v>
      </c>
      <c r="I11" s="84">
        <v>0.23</v>
      </c>
      <c r="J11" s="84">
        <v>0.23</v>
      </c>
      <c r="K11" s="84">
        <v>0.23</v>
      </c>
      <c r="L11" s="84">
        <v>0.23</v>
      </c>
      <c r="M11" s="84">
        <v>0.23</v>
      </c>
      <c r="N11" s="84">
        <v>0.23</v>
      </c>
      <c r="O11" s="84">
        <v>0.23</v>
      </c>
      <c r="P11" s="84">
        <v>0.23</v>
      </c>
      <c r="Q11" s="84">
        <v>0.23</v>
      </c>
    </row>
    <row r="12" spans="2:17" x14ac:dyDescent="0.3">
      <c r="B12" s="4" t="s">
        <v>142</v>
      </c>
      <c r="C12" s="2" t="s">
        <v>143</v>
      </c>
      <c r="D12" s="15" t="s">
        <v>131</v>
      </c>
      <c r="E12" s="82" t="s">
        <v>132</v>
      </c>
      <c r="F12" s="83"/>
      <c r="G12" s="83"/>
      <c r="H12" s="84">
        <v>0.32</v>
      </c>
      <c r="I12" s="84">
        <v>0.32</v>
      </c>
      <c r="J12" s="84">
        <v>0.32</v>
      </c>
      <c r="K12" s="84">
        <v>0.32</v>
      </c>
      <c r="L12" s="84">
        <v>0.32</v>
      </c>
      <c r="M12" s="84">
        <v>0.32</v>
      </c>
      <c r="N12" s="84">
        <v>0.32</v>
      </c>
      <c r="O12" s="84">
        <v>0.32</v>
      </c>
      <c r="P12" s="84">
        <v>0.32</v>
      </c>
      <c r="Q12" s="84">
        <v>0.32</v>
      </c>
    </row>
    <row r="13" spans="2:17" x14ac:dyDescent="0.3">
      <c r="B13" s="4" t="s">
        <v>144</v>
      </c>
      <c r="C13" s="2" t="s">
        <v>145</v>
      </c>
      <c r="D13" s="15" t="s">
        <v>146</v>
      </c>
      <c r="E13" s="82" t="s">
        <v>132</v>
      </c>
      <c r="F13" s="83"/>
      <c r="G13" s="83"/>
      <c r="H13" s="85">
        <v>1.2</v>
      </c>
      <c r="I13" s="85">
        <v>1.2</v>
      </c>
      <c r="J13" s="85">
        <v>1.2</v>
      </c>
      <c r="K13" s="85">
        <v>1.2</v>
      </c>
      <c r="L13" s="85">
        <v>1.2</v>
      </c>
      <c r="M13" s="85">
        <v>1.2</v>
      </c>
      <c r="N13" s="85">
        <v>1.2</v>
      </c>
      <c r="O13" s="85">
        <v>1.2</v>
      </c>
      <c r="P13" s="85">
        <v>1.2</v>
      </c>
      <c r="Q13" s="85">
        <v>1.2</v>
      </c>
    </row>
    <row r="14" spans="2:17" x14ac:dyDescent="0.3">
      <c r="B14" s="4" t="s">
        <v>147</v>
      </c>
      <c r="C14" s="2" t="s">
        <v>148</v>
      </c>
      <c r="D14" s="15" t="s">
        <v>131</v>
      </c>
      <c r="E14" s="86" t="s">
        <v>135</v>
      </c>
      <c r="F14" s="86"/>
      <c r="G14" s="86"/>
      <c r="H14" s="87">
        <f t="shared" ref="H14:Q14" si="1">H12-H11</f>
        <v>0.09</v>
      </c>
      <c r="I14" s="87">
        <f t="shared" si="1"/>
        <v>0.09</v>
      </c>
      <c r="J14" s="87">
        <f t="shared" si="1"/>
        <v>0.09</v>
      </c>
      <c r="K14" s="87">
        <f t="shared" si="1"/>
        <v>0.09</v>
      </c>
      <c r="L14" s="87">
        <f t="shared" si="1"/>
        <v>0.09</v>
      </c>
      <c r="M14" s="87">
        <f t="shared" si="1"/>
        <v>0.09</v>
      </c>
      <c r="N14" s="87">
        <f t="shared" si="1"/>
        <v>0.09</v>
      </c>
      <c r="O14" s="87">
        <f t="shared" si="1"/>
        <v>0.09</v>
      </c>
      <c r="P14" s="87">
        <f t="shared" si="1"/>
        <v>0.09</v>
      </c>
      <c r="Q14" s="87">
        <f t="shared" si="1"/>
        <v>0.09</v>
      </c>
    </row>
    <row r="15" spans="2:17" x14ac:dyDescent="0.3">
      <c r="B15" s="4" t="s">
        <v>149</v>
      </c>
      <c r="C15" s="2" t="s">
        <v>150</v>
      </c>
      <c r="D15" s="15" t="s">
        <v>131</v>
      </c>
      <c r="E15" s="86" t="s">
        <v>135</v>
      </c>
      <c r="F15" s="86"/>
      <c r="G15" s="86"/>
      <c r="H15" s="87">
        <f t="shared" ref="H15:Q15" si="2">H11+H13*H14</f>
        <v>0.33800000000000002</v>
      </c>
      <c r="I15" s="87">
        <f t="shared" si="2"/>
        <v>0.33800000000000002</v>
      </c>
      <c r="J15" s="87">
        <f t="shared" si="2"/>
        <v>0.33800000000000002</v>
      </c>
      <c r="K15" s="87">
        <f t="shared" si="2"/>
        <v>0.33800000000000002</v>
      </c>
      <c r="L15" s="87">
        <f t="shared" si="2"/>
        <v>0.33800000000000002</v>
      </c>
      <c r="M15" s="87">
        <f t="shared" si="2"/>
        <v>0.33800000000000002</v>
      </c>
      <c r="N15" s="87">
        <f t="shared" si="2"/>
        <v>0.33800000000000002</v>
      </c>
      <c r="O15" s="87">
        <f t="shared" si="2"/>
        <v>0.33800000000000002</v>
      </c>
      <c r="P15" s="87">
        <f t="shared" si="2"/>
        <v>0.33800000000000002</v>
      </c>
      <c r="Q15" s="87">
        <f t="shared" si="2"/>
        <v>0.33800000000000002</v>
      </c>
    </row>
    <row r="16" spans="2:17" x14ac:dyDescent="0.3">
      <c r="B16" s="4" t="s">
        <v>151</v>
      </c>
      <c r="C16" s="2" t="s">
        <v>152</v>
      </c>
      <c r="D16" s="15" t="s">
        <v>131</v>
      </c>
      <c r="E16" s="86" t="s">
        <v>135</v>
      </c>
      <c r="F16" s="86"/>
      <c r="G16" s="86"/>
      <c r="H16" s="87">
        <f t="shared" ref="H16:Q16" si="3">H7*H10+IFERROR(1-H7,0)*H15</f>
        <v>0.28339999999999999</v>
      </c>
      <c r="I16" s="87">
        <f t="shared" si="3"/>
        <v>0.28339999999999999</v>
      </c>
      <c r="J16" s="87">
        <f t="shared" si="3"/>
        <v>0.28339999999999999</v>
      </c>
      <c r="K16" s="87">
        <f t="shared" si="3"/>
        <v>0.28339999999999999</v>
      </c>
      <c r="L16" s="87">
        <f t="shared" si="3"/>
        <v>0.28339999999999999</v>
      </c>
      <c r="M16" s="87">
        <f t="shared" si="3"/>
        <v>0.28339999999999999</v>
      </c>
      <c r="N16" s="87">
        <f t="shared" si="3"/>
        <v>0.28339999999999999</v>
      </c>
      <c r="O16" s="87">
        <f t="shared" si="3"/>
        <v>0.28339999999999999</v>
      </c>
      <c r="P16" s="87">
        <f t="shared" si="3"/>
        <v>0.28339999999999999</v>
      </c>
      <c r="Q16" s="87">
        <f t="shared" si="3"/>
        <v>0.28339999999999999</v>
      </c>
    </row>
    <row r="17" spans="2:17" x14ac:dyDescent="0.3">
      <c r="B17" s="4" t="s">
        <v>153</v>
      </c>
      <c r="C17" s="2" t="s">
        <v>154</v>
      </c>
      <c r="D17" s="15" t="s">
        <v>131</v>
      </c>
      <c r="E17" s="86" t="s">
        <v>135</v>
      </c>
      <c r="F17" s="86"/>
      <c r="G17" s="86"/>
      <c r="H17" s="87">
        <f t="shared" ref="H17:Q17" si="4">H7*H10*(1-H9)+IFERROR(1-H7,0)*H15</f>
        <v>0.2288</v>
      </c>
      <c r="I17" s="87">
        <f t="shared" si="4"/>
        <v>0.2288</v>
      </c>
      <c r="J17" s="87">
        <f t="shared" si="4"/>
        <v>0.2288</v>
      </c>
      <c r="K17" s="87">
        <f t="shared" si="4"/>
        <v>0.2288</v>
      </c>
      <c r="L17" s="87">
        <f t="shared" si="4"/>
        <v>0.2288</v>
      </c>
      <c r="M17" s="87">
        <f t="shared" si="4"/>
        <v>0.2288</v>
      </c>
      <c r="N17" s="87">
        <f t="shared" si="4"/>
        <v>0.2288</v>
      </c>
      <c r="O17" s="87">
        <f t="shared" si="4"/>
        <v>0.2288</v>
      </c>
      <c r="P17" s="87">
        <f t="shared" si="4"/>
        <v>0.2288</v>
      </c>
      <c r="Q17" s="87">
        <f t="shared" si="4"/>
        <v>0.2288</v>
      </c>
    </row>
    <row r="19" spans="2:17" ht="13.95" customHeight="1" x14ac:dyDescent="0.3">
      <c r="B19" s="142" t="s">
        <v>155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1"/>
    </row>
    <row r="20" spans="2:17" x14ac:dyDescent="0.3">
      <c r="B20" s="4" t="s">
        <v>156</v>
      </c>
      <c r="C20" s="2" t="s">
        <v>157</v>
      </c>
      <c r="D20" s="15" t="s">
        <v>131</v>
      </c>
      <c r="E20" s="88" t="s">
        <v>132</v>
      </c>
      <c r="F20" s="89"/>
      <c r="G20" s="89"/>
      <c r="H20" s="90">
        <v>0.18</v>
      </c>
      <c r="I20" s="90">
        <v>0.17</v>
      </c>
      <c r="J20" s="90">
        <v>0.16</v>
      </c>
      <c r="K20" s="90">
        <v>0.15</v>
      </c>
      <c r="L20" s="90">
        <v>0.14000000000000001</v>
      </c>
      <c r="M20" s="90">
        <v>0.13</v>
      </c>
      <c r="N20" s="90">
        <v>0.12</v>
      </c>
      <c r="O20" s="90">
        <v>0.11</v>
      </c>
      <c r="P20" s="90">
        <v>0.1</v>
      </c>
      <c r="Q20" s="90">
        <v>0.1</v>
      </c>
    </row>
    <row r="21" spans="2:17" x14ac:dyDescent="0.3">
      <c r="B21" s="4" t="s">
        <v>158</v>
      </c>
      <c r="C21" s="2" t="s">
        <v>159</v>
      </c>
      <c r="D21" s="15" t="s">
        <v>160</v>
      </c>
      <c r="E21" s="88" t="s">
        <v>132</v>
      </c>
      <c r="F21" s="89"/>
      <c r="G21" s="89"/>
      <c r="H21" s="91">
        <v>1380</v>
      </c>
      <c r="I21" s="91">
        <v>1380</v>
      </c>
      <c r="J21" s="91">
        <v>1380</v>
      </c>
      <c r="K21" s="91">
        <v>1380</v>
      </c>
      <c r="L21" s="91">
        <v>1380</v>
      </c>
      <c r="M21" s="91">
        <v>1380</v>
      </c>
      <c r="N21" s="91">
        <v>1380</v>
      </c>
      <c r="O21" s="91">
        <v>1380</v>
      </c>
      <c r="P21" s="91">
        <v>1380</v>
      </c>
      <c r="Q21" s="91">
        <v>1380</v>
      </c>
    </row>
    <row r="22" spans="2:17" x14ac:dyDescent="0.3">
      <c r="B22" s="4" t="s">
        <v>161</v>
      </c>
      <c r="C22" s="2" t="s">
        <v>162</v>
      </c>
      <c r="D22" s="15" t="s">
        <v>163</v>
      </c>
      <c r="E22" s="88" t="s">
        <v>132</v>
      </c>
      <c r="F22" s="89"/>
      <c r="G22" s="89"/>
      <c r="H22" s="91">
        <v>100</v>
      </c>
      <c r="I22" s="91">
        <v>108</v>
      </c>
      <c r="J22" s="91">
        <v>116</v>
      </c>
      <c r="K22" s="91">
        <v>124</v>
      </c>
      <c r="L22" s="91">
        <v>132</v>
      </c>
      <c r="M22" s="91">
        <v>140</v>
      </c>
      <c r="N22" s="91">
        <v>148</v>
      </c>
      <c r="O22" s="91">
        <v>156</v>
      </c>
      <c r="P22" s="91">
        <v>164</v>
      </c>
      <c r="Q22" s="91">
        <v>172</v>
      </c>
    </row>
    <row r="24" spans="2:17" ht="13.95" customHeight="1" x14ac:dyDescent="0.3">
      <c r="B24" s="142" t="s">
        <v>164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1"/>
    </row>
    <row r="25" spans="2:17" x14ac:dyDescent="0.3">
      <c r="B25" s="4" t="s">
        <v>90</v>
      </c>
      <c r="C25" s="2" t="s">
        <v>165</v>
      </c>
      <c r="D25" s="15" t="s">
        <v>166</v>
      </c>
      <c r="E25" s="88" t="s">
        <v>132</v>
      </c>
      <c r="F25" s="89"/>
      <c r="G25" s="89"/>
      <c r="H25" s="91">
        <v>200</v>
      </c>
      <c r="I25" s="91">
        <v>210</v>
      </c>
      <c r="J25" s="91">
        <v>220</v>
      </c>
      <c r="K25" s="91">
        <v>230</v>
      </c>
      <c r="L25" s="91">
        <v>242</v>
      </c>
      <c r="M25" s="91">
        <v>254</v>
      </c>
      <c r="N25" s="91">
        <v>267</v>
      </c>
      <c r="O25" s="91">
        <v>280</v>
      </c>
      <c r="P25" s="91">
        <v>294</v>
      </c>
      <c r="Q25" s="91">
        <v>309</v>
      </c>
    </row>
    <row r="26" spans="2:17" x14ac:dyDescent="0.3">
      <c r="B26" s="4" t="s">
        <v>93</v>
      </c>
      <c r="C26" s="2" t="s">
        <v>167</v>
      </c>
      <c r="D26" s="15" t="s">
        <v>131</v>
      </c>
      <c r="E26" s="88" t="s">
        <v>132</v>
      </c>
      <c r="F26" s="89"/>
      <c r="G26" s="89"/>
      <c r="H26" s="90">
        <v>0.7</v>
      </c>
      <c r="I26" s="90">
        <v>0.7</v>
      </c>
      <c r="J26" s="90">
        <v>0.7</v>
      </c>
      <c r="K26" s="90">
        <v>0.7</v>
      </c>
      <c r="L26" s="90">
        <v>0.7</v>
      </c>
      <c r="M26" s="90">
        <v>0.7</v>
      </c>
      <c r="N26" s="90">
        <v>0.7</v>
      </c>
      <c r="O26" s="90">
        <v>0.7</v>
      </c>
      <c r="P26" s="90">
        <v>0.7</v>
      </c>
      <c r="Q26" s="90">
        <v>0.7</v>
      </c>
    </row>
    <row r="27" spans="2:17" x14ac:dyDescent="0.3">
      <c r="B27" s="4" t="s">
        <v>168</v>
      </c>
      <c r="C27" s="2" t="s">
        <v>169</v>
      </c>
      <c r="D27" s="15" t="s">
        <v>170</v>
      </c>
      <c r="E27" s="15" t="s">
        <v>171</v>
      </c>
      <c r="F27" s="93"/>
      <c r="G27" s="93"/>
      <c r="H27" s="94">
        <v>8766</v>
      </c>
      <c r="I27" s="94">
        <v>8766</v>
      </c>
      <c r="J27" s="94">
        <v>8766</v>
      </c>
      <c r="K27" s="94">
        <v>8766</v>
      </c>
      <c r="L27" s="94">
        <v>8766</v>
      </c>
      <c r="M27" s="94">
        <v>8766</v>
      </c>
      <c r="N27" s="94">
        <v>8766</v>
      </c>
      <c r="O27" s="94">
        <v>8766</v>
      </c>
      <c r="P27" s="94">
        <v>8766</v>
      </c>
      <c r="Q27" s="94">
        <v>8766</v>
      </c>
    </row>
    <row r="28" spans="2:17" x14ac:dyDescent="0.3">
      <c r="B28" s="4" t="s">
        <v>95</v>
      </c>
      <c r="C28" s="2" t="s">
        <v>172</v>
      </c>
      <c r="D28" s="15" t="s">
        <v>173</v>
      </c>
      <c r="E28" s="86" t="s">
        <v>135</v>
      </c>
      <c r="F28" s="86"/>
      <c r="G28" s="86"/>
      <c r="H28" s="92">
        <f t="shared" ref="H28:Q28" si="5">H25*H26*H27</f>
        <v>1227240</v>
      </c>
      <c r="I28" s="92">
        <f t="shared" si="5"/>
        <v>1288602</v>
      </c>
      <c r="J28" s="92">
        <f t="shared" si="5"/>
        <v>1349964</v>
      </c>
      <c r="K28" s="92">
        <f t="shared" si="5"/>
        <v>1411326</v>
      </c>
      <c r="L28" s="92">
        <f t="shared" si="5"/>
        <v>1484960.4</v>
      </c>
      <c r="M28" s="92">
        <f t="shared" si="5"/>
        <v>1558594.7999999998</v>
      </c>
      <c r="N28" s="92">
        <f t="shared" si="5"/>
        <v>1638365.4</v>
      </c>
      <c r="O28" s="92">
        <f t="shared" si="5"/>
        <v>1718136</v>
      </c>
      <c r="P28" s="92">
        <f t="shared" si="5"/>
        <v>1804042.7999999998</v>
      </c>
      <c r="Q28" s="92">
        <f t="shared" si="5"/>
        <v>1896085.7999999998</v>
      </c>
    </row>
    <row r="30" spans="2:17" ht="13.95" customHeight="1" x14ac:dyDescent="0.3">
      <c r="B30" s="142" t="s">
        <v>174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</row>
    <row r="31" spans="2:17" x14ac:dyDescent="0.3">
      <c r="B31" s="4" t="s">
        <v>175</v>
      </c>
      <c r="C31" s="2" t="s">
        <v>176</v>
      </c>
      <c r="D31" s="15" t="s">
        <v>131</v>
      </c>
      <c r="E31" s="88" t="s">
        <v>132</v>
      </c>
      <c r="F31" s="89"/>
      <c r="G31" s="89"/>
      <c r="H31" s="90">
        <v>1.4999999999999999E-2</v>
      </c>
      <c r="I31" s="90">
        <v>1.4999999999999999E-2</v>
      </c>
      <c r="J31" s="90">
        <v>1.4999999999999999E-2</v>
      </c>
      <c r="K31" s="90">
        <v>1.4999999999999999E-2</v>
      </c>
      <c r="L31" s="90">
        <v>1.4999999999999999E-2</v>
      </c>
      <c r="M31" s="90">
        <v>1.4999999999999999E-2</v>
      </c>
      <c r="N31" s="90">
        <v>1.4999999999999999E-2</v>
      </c>
      <c r="O31" s="90">
        <v>1.4999999999999999E-2</v>
      </c>
      <c r="P31" s="90">
        <v>1.4999999999999999E-2</v>
      </c>
      <c r="Q31" s="90">
        <v>1.4999999999999999E-2</v>
      </c>
    </row>
  </sheetData>
  <mergeCells count="6">
    <mergeCell ref="B24:Q24"/>
    <mergeCell ref="B6:Q6"/>
    <mergeCell ref="B30:Q30"/>
    <mergeCell ref="B2:Q2"/>
    <mergeCell ref="B3:Q3"/>
    <mergeCell ref="B19:Q19"/>
  </mergeCells>
  <hyperlinks>
    <hyperlink ref="B1" location="'User Guide'!A1" display="◄ Prev. Pg" xr:uid="{00000000-0004-0000-0300-000000000000}"/>
    <hyperlink ref="C1" location="'Control Panel'!A1" display="◄◄◄ Control Panel" xr:uid="{00000000-0004-0000-0300-000001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A237E"/>
  </sheetPr>
  <dimension ref="B1:O16"/>
  <sheetViews>
    <sheetView showGridLines="0" topLeftCell="B1" workbookViewId="0">
      <selection activeCell="F7" sqref="F7"/>
    </sheetView>
  </sheetViews>
  <sheetFormatPr defaultRowHeight="14.4" x14ac:dyDescent="0.3"/>
  <cols>
    <col min="1" max="1" width="2" customWidth="1"/>
    <col min="2" max="2" width="7.77734375" customWidth="1"/>
    <col min="3" max="3" width="42" customWidth="1"/>
    <col min="4" max="4" width="6.6640625" bestFit="1" customWidth="1"/>
    <col min="5" max="5" width="17.109375" bestFit="1" customWidth="1"/>
    <col min="6" max="15" width="15" customWidth="1"/>
  </cols>
  <sheetData>
    <row r="1" spans="2:15" ht="13.05" customHeight="1" x14ac:dyDescent="0.3">
      <c r="B1" s="70" t="s">
        <v>0</v>
      </c>
      <c r="C1" s="70" t="s">
        <v>1</v>
      </c>
    </row>
    <row r="2" spans="2:15" ht="15.45" customHeight="1" x14ac:dyDescent="0.3">
      <c r="B2" s="143" t="s">
        <v>662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1"/>
    </row>
    <row r="3" spans="2:15" ht="36" customHeight="1" x14ac:dyDescent="0.3">
      <c r="B3" s="112" t="s">
        <v>394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</row>
    <row r="4" spans="2:15" ht="24" customHeight="1" x14ac:dyDescent="0.3">
      <c r="B4" s="12" t="s">
        <v>2</v>
      </c>
      <c r="C4" s="12" t="s">
        <v>124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5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5" ht="13.95" customHeight="1" x14ac:dyDescent="0.3">
      <c r="B6" s="142" t="s">
        <v>395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1"/>
    </row>
    <row r="7" spans="2:15" x14ac:dyDescent="0.3">
      <c r="B7" s="4" t="s">
        <v>396</v>
      </c>
      <c r="C7" s="2" t="s">
        <v>172</v>
      </c>
      <c r="D7" s="15" t="s">
        <v>173</v>
      </c>
      <c r="E7" s="2" t="s">
        <v>397</v>
      </c>
      <c r="F7" s="21">
        <f>'01_Macro Parameters'!H28</f>
        <v>1227240</v>
      </c>
      <c r="G7" s="21">
        <f>'01_Macro Parameters'!I28</f>
        <v>1288602</v>
      </c>
      <c r="H7" s="21">
        <f>'01_Macro Parameters'!J28</f>
        <v>1349964</v>
      </c>
      <c r="I7" s="21">
        <f>'01_Macro Parameters'!K28</f>
        <v>1411326</v>
      </c>
      <c r="J7" s="21">
        <f>'01_Macro Parameters'!L28</f>
        <v>1484960.4</v>
      </c>
      <c r="K7" s="21">
        <f>'01_Macro Parameters'!M28</f>
        <v>1558594.7999999998</v>
      </c>
      <c r="L7" s="21">
        <f>'01_Macro Parameters'!N28</f>
        <v>1638365.4</v>
      </c>
      <c r="M7" s="21">
        <f>'01_Macro Parameters'!O28</f>
        <v>1718136</v>
      </c>
      <c r="N7" s="21">
        <f>'01_Macro Parameters'!P28</f>
        <v>1804042.7999999998</v>
      </c>
      <c r="O7" s="21">
        <f>'01_Macro Parameters'!Q28</f>
        <v>1896085.7999999998</v>
      </c>
    </row>
    <row r="9" spans="2:15" ht="13.95" customHeight="1" x14ac:dyDescent="0.3">
      <c r="B9" s="142" t="s">
        <v>398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1"/>
    </row>
    <row r="10" spans="2:15" x14ac:dyDescent="0.3">
      <c r="B10" s="4" t="s">
        <v>399</v>
      </c>
      <c r="C10" s="2" t="s">
        <v>400</v>
      </c>
      <c r="D10" s="15" t="s">
        <v>17</v>
      </c>
      <c r="E10" s="16" t="s">
        <v>401</v>
      </c>
      <c r="F10" s="100">
        <v>103</v>
      </c>
      <c r="G10" s="100">
        <v>110</v>
      </c>
      <c r="H10" s="100">
        <v>118</v>
      </c>
      <c r="I10" s="100">
        <v>127</v>
      </c>
      <c r="J10" s="100">
        <v>136</v>
      </c>
      <c r="K10" s="100">
        <v>145</v>
      </c>
      <c r="L10" s="100">
        <v>155</v>
      </c>
      <c r="M10" s="100">
        <v>165</v>
      </c>
      <c r="N10" s="100">
        <v>175</v>
      </c>
      <c r="O10" s="100">
        <v>186</v>
      </c>
    </row>
    <row r="11" spans="2:15" x14ac:dyDescent="0.3">
      <c r="B11" s="4" t="s">
        <v>402</v>
      </c>
      <c r="C11" s="2" t="s">
        <v>403</v>
      </c>
      <c r="D11" s="15" t="s">
        <v>17</v>
      </c>
      <c r="E11" s="16" t="s">
        <v>401</v>
      </c>
      <c r="F11" s="100">
        <v>8.4499999999999993</v>
      </c>
      <c r="G11" s="100">
        <v>9</v>
      </c>
      <c r="H11" s="100">
        <v>9.6</v>
      </c>
      <c r="I11" s="100">
        <v>10.3</v>
      </c>
      <c r="J11" s="100">
        <v>11</v>
      </c>
      <c r="K11" s="100">
        <v>11.8</v>
      </c>
      <c r="L11" s="100">
        <v>12.6</v>
      </c>
      <c r="M11" s="100">
        <v>13.5</v>
      </c>
      <c r="N11" s="100">
        <v>14.4</v>
      </c>
      <c r="O11" s="100">
        <v>15.4</v>
      </c>
    </row>
    <row r="13" spans="2:15" ht="13.95" customHeight="1" x14ac:dyDescent="0.3">
      <c r="B13" s="142" t="s">
        <v>404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2:15" x14ac:dyDescent="0.3">
      <c r="B14" s="4" t="s">
        <v>405</v>
      </c>
      <c r="C14" s="2" t="s">
        <v>406</v>
      </c>
      <c r="D14" s="15" t="s">
        <v>298</v>
      </c>
      <c r="F14" s="95">
        <f t="shared" ref="F14:O14" si="0">F10*F7*1000</f>
        <v>126405720000</v>
      </c>
      <c r="G14" s="95">
        <f t="shared" si="0"/>
        <v>141746220000</v>
      </c>
      <c r="H14" s="95">
        <f t="shared" si="0"/>
        <v>159295752000</v>
      </c>
      <c r="I14" s="95">
        <f t="shared" si="0"/>
        <v>179238402000</v>
      </c>
      <c r="J14" s="95">
        <f t="shared" si="0"/>
        <v>201954614399.99997</v>
      </c>
      <c r="K14" s="95">
        <f t="shared" si="0"/>
        <v>225996245999.99997</v>
      </c>
      <c r="L14" s="95">
        <f t="shared" si="0"/>
        <v>253946637000</v>
      </c>
      <c r="M14" s="95">
        <f t="shared" si="0"/>
        <v>283492440000</v>
      </c>
      <c r="N14" s="95">
        <f t="shared" si="0"/>
        <v>315707489999.99994</v>
      </c>
      <c r="O14" s="95">
        <f t="shared" si="0"/>
        <v>352671958799.99994</v>
      </c>
    </row>
    <row r="15" spans="2:15" x14ac:dyDescent="0.3">
      <c r="B15" s="4" t="s">
        <v>407</v>
      </c>
      <c r="C15" s="2" t="s">
        <v>408</v>
      </c>
      <c r="D15" s="15" t="s">
        <v>298</v>
      </c>
      <c r="F15" s="95">
        <f t="shared" ref="F15:O15" si="1">F11*F7*1000</f>
        <v>10370178000</v>
      </c>
      <c r="G15" s="95">
        <f t="shared" si="1"/>
        <v>11597418000</v>
      </c>
      <c r="H15" s="95">
        <f t="shared" si="1"/>
        <v>12959654400</v>
      </c>
      <c r="I15" s="95">
        <f t="shared" si="1"/>
        <v>14536657800</v>
      </c>
      <c r="J15" s="95">
        <f t="shared" si="1"/>
        <v>16334564399.999998</v>
      </c>
      <c r="K15" s="95">
        <f t="shared" si="1"/>
        <v>18391418640</v>
      </c>
      <c r="L15" s="95">
        <f t="shared" si="1"/>
        <v>20643404040</v>
      </c>
      <c r="M15" s="95">
        <f t="shared" si="1"/>
        <v>23194836000</v>
      </c>
      <c r="N15" s="95">
        <f t="shared" si="1"/>
        <v>25978216319.999996</v>
      </c>
      <c r="O15" s="95">
        <f t="shared" si="1"/>
        <v>29199721319.999996</v>
      </c>
    </row>
    <row r="16" spans="2:15" x14ac:dyDescent="0.3">
      <c r="B16" s="144" t="s">
        <v>409</v>
      </c>
      <c r="C16" s="110"/>
      <c r="D16" s="111"/>
      <c r="F16" s="32">
        <f t="shared" ref="F16:O16" si="2">F14+F15</f>
        <v>136775898000</v>
      </c>
      <c r="G16" s="32">
        <f t="shared" si="2"/>
        <v>153343638000</v>
      </c>
      <c r="H16" s="32">
        <f t="shared" si="2"/>
        <v>172255406400</v>
      </c>
      <c r="I16" s="32">
        <f t="shared" si="2"/>
        <v>193775059800</v>
      </c>
      <c r="J16" s="32">
        <f t="shared" si="2"/>
        <v>218289178799.99997</v>
      </c>
      <c r="K16" s="32">
        <f t="shared" si="2"/>
        <v>244387664639.99997</v>
      </c>
      <c r="L16" s="32">
        <f t="shared" si="2"/>
        <v>274590041040</v>
      </c>
      <c r="M16" s="32">
        <f t="shared" si="2"/>
        <v>306687276000</v>
      </c>
      <c r="N16" s="32">
        <f t="shared" si="2"/>
        <v>341685706319.99994</v>
      </c>
      <c r="O16" s="32">
        <f t="shared" si="2"/>
        <v>381871680119.99994</v>
      </c>
    </row>
  </sheetData>
  <mergeCells count="6">
    <mergeCell ref="B16:D16"/>
    <mergeCell ref="B9:O9"/>
    <mergeCell ref="B13:O13"/>
    <mergeCell ref="B6:O6"/>
    <mergeCell ref="B2:O2"/>
    <mergeCell ref="B3:O3"/>
  </mergeCells>
  <hyperlinks>
    <hyperlink ref="B1" location="'06_Energy_Sales'!A1" display="◄ Prev. Pg" xr:uid="{00000000-0004-0000-0700-000000000000}"/>
    <hyperlink ref="C1" location="'Control Panel'!A1" display="◄◄◄ Control Panel" xr:uid="{00000000-0004-0000-0700-000001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8A217"/>
  </sheetPr>
  <dimension ref="B1:J82"/>
  <sheetViews>
    <sheetView showGridLines="0" zoomScale="78" workbookViewId="0">
      <selection activeCell="I8" sqref="I8"/>
    </sheetView>
  </sheetViews>
  <sheetFormatPr defaultRowHeight="14.4" x14ac:dyDescent="0.3"/>
  <cols>
    <col min="1" max="1" width="2" customWidth="1"/>
    <col min="2" max="2" width="8.88671875" customWidth="1"/>
    <col min="3" max="3" width="32" customWidth="1"/>
    <col min="4" max="4" width="22" customWidth="1"/>
    <col min="5" max="5" width="10" customWidth="1"/>
    <col min="6" max="6" width="10.6640625" bestFit="1" customWidth="1"/>
    <col min="7" max="7" width="16" customWidth="1"/>
    <col min="8" max="8" width="10" customWidth="1"/>
    <col min="9" max="9" width="16" customWidth="1"/>
    <col min="10" max="10" width="20" customWidth="1"/>
  </cols>
  <sheetData>
    <row r="1" spans="2:10" ht="13.05" customHeight="1" x14ac:dyDescent="0.3">
      <c r="B1" s="70" t="s">
        <v>0</v>
      </c>
      <c r="C1" s="70" t="s">
        <v>1</v>
      </c>
    </row>
    <row r="2" spans="2:10" ht="15.45" customHeight="1" x14ac:dyDescent="0.3">
      <c r="B2" s="143" t="s">
        <v>177</v>
      </c>
      <c r="C2" s="110"/>
      <c r="D2" s="110"/>
      <c r="E2" s="110"/>
      <c r="F2" s="110"/>
      <c r="G2" s="110"/>
      <c r="H2" s="110"/>
      <c r="I2" s="110"/>
      <c r="J2" s="111"/>
    </row>
    <row r="3" spans="2:10" ht="30" customHeight="1" x14ac:dyDescent="0.3">
      <c r="B3" s="112" t="s">
        <v>178</v>
      </c>
      <c r="C3" s="110"/>
      <c r="D3" s="110"/>
      <c r="E3" s="110"/>
      <c r="F3" s="110"/>
      <c r="G3" s="110"/>
      <c r="H3" s="110"/>
      <c r="I3" s="110"/>
      <c r="J3" s="111"/>
    </row>
    <row r="4" spans="2:10" ht="30" customHeight="1" x14ac:dyDescent="0.3">
      <c r="B4" s="12" t="s">
        <v>179</v>
      </c>
      <c r="C4" s="12" t="s">
        <v>180</v>
      </c>
      <c r="D4" s="12" t="s">
        <v>181</v>
      </c>
      <c r="E4" s="12" t="s">
        <v>3</v>
      </c>
      <c r="F4" s="12" t="s">
        <v>182</v>
      </c>
      <c r="G4" s="12" t="s">
        <v>183</v>
      </c>
      <c r="H4" s="12" t="s">
        <v>184</v>
      </c>
      <c r="I4" s="12" t="s">
        <v>185</v>
      </c>
      <c r="J4" s="12" t="s">
        <v>186</v>
      </c>
    </row>
    <row r="5" spans="2:10" ht="13.95" customHeight="1" x14ac:dyDescent="0.3">
      <c r="B5" s="142" t="s">
        <v>187</v>
      </c>
      <c r="C5" s="110"/>
      <c r="D5" s="110"/>
      <c r="E5" s="110"/>
      <c r="F5" s="110"/>
      <c r="G5" s="110"/>
      <c r="H5" s="110"/>
      <c r="I5" s="110"/>
      <c r="J5" s="111"/>
    </row>
    <row r="6" spans="2:10" x14ac:dyDescent="0.3">
      <c r="B6" s="23" t="s">
        <v>188</v>
      </c>
      <c r="C6" s="99" t="s">
        <v>189</v>
      </c>
      <c r="D6" s="24" t="s">
        <v>190</v>
      </c>
      <c r="E6" s="24" t="s">
        <v>191</v>
      </c>
      <c r="F6" s="20">
        <v>3</v>
      </c>
      <c r="G6" s="20">
        <v>150000000</v>
      </c>
      <c r="H6" s="4" t="s">
        <v>192</v>
      </c>
      <c r="I6" s="95">
        <f>IF(H6="Y",G6,0)</f>
        <v>150000000</v>
      </c>
      <c r="J6" s="25" t="str">
        <f>IFERROR(I6/RAB_TOTAL,"-")</f>
        <v>-</v>
      </c>
    </row>
    <row r="7" spans="2:10" x14ac:dyDescent="0.3">
      <c r="B7" s="23" t="s">
        <v>193</v>
      </c>
      <c r="C7" s="99" t="s">
        <v>194</v>
      </c>
      <c r="D7" s="24" t="s">
        <v>190</v>
      </c>
      <c r="E7" s="24" t="s">
        <v>191</v>
      </c>
      <c r="F7" s="20">
        <v>2</v>
      </c>
      <c r="G7" s="20">
        <v>200000000</v>
      </c>
      <c r="H7" s="4" t="s">
        <v>192</v>
      </c>
      <c r="I7" s="95">
        <f>IF(H7="Y",G7,0)</f>
        <v>200000000</v>
      </c>
      <c r="J7" s="25" t="str">
        <f>IFERROR(I7/RAB_TOTAL,"-")</f>
        <v>-</v>
      </c>
    </row>
    <row r="8" spans="2:10" x14ac:dyDescent="0.3">
      <c r="B8" s="23" t="s">
        <v>195</v>
      </c>
      <c r="C8" s="99" t="s">
        <v>196</v>
      </c>
      <c r="D8" s="24" t="s">
        <v>190</v>
      </c>
      <c r="E8" s="24" t="s">
        <v>191</v>
      </c>
      <c r="F8" s="20">
        <v>8</v>
      </c>
      <c r="G8" s="20">
        <v>400000000</v>
      </c>
      <c r="H8" s="4" t="s">
        <v>192</v>
      </c>
      <c r="I8" s="95">
        <f>IF(H8="Y",G8,0)</f>
        <v>400000000</v>
      </c>
      <c r="J8" s="25" t="str">
        <f>IFERROR(I8/RAB_TOTAL,"-")</f>
        <v>-</v>
      </c>
    </row>
    <row r="9" spans="2:10" x14ac:dyDescent="0.3">
      <c r="B9" s="23" t="s">
        <v>197</v>
      </c>
      <c r="C9" s="99"/>
      <c r="D9" s="24" t="s">
        <v>190</v>
      </c>
      <c r="E9" s="24" t="s">
        <v>191</v>
      </c>
      <c r="F9" s="20"/>
      <c r="G9" s="20"/>
      <c r="H9" s="4" t="s">
        <v>192</v>
      </c>
      <c r="I9" s="95">
        <f>IF(H9="Y",G9,0)</f>
        <v>0</v>
      </c>
      <c r="J9" s="25" t="str">
        <f>IFERROR(I9/RAB_TOTAL,"-")</f>
        <v>-</v>
      </c>
    </row>
    <row r="10" spans="2:10" x14ac:dyDescent="0.3">
      <c r="B10" s="23" t="s">
        <v>198</v>
      </c>
      <c r="C10" s="99"/>
      <c r="D10" s="24" t="s">
        <v>190</v>
      </c>
      <c r="E10" s="24" t="s">
        <v>191</v>
      </c>
      <c r="F10" s="20"/>
      <c r="G10" s="20"/>
      <c r="H10" s="4" t="s">
        <v>192</v>
      </c>
      <c r="I10" s="95">
        <f>IF(H10="Y",G10,0)</f>
        <v>0</v>
      </c>
      <c r="J10" s="25" t="str">
        <f>IFERROR(I10/RAB_TOTAL,"-")</f>
        <v>-</v>
      </c>
    </row>
    <row r="11" spans="2:10" x14ac:dyDescent="0.3">
      <c r="B11" s="141" t="s">
        <v>199</v>
      </c>
      <c r="C11" s="110"/>
      <c r="D11" s="110"/>
      <c r="E11" s="111"/>
      <c r="G11" s="26">
        <f>SUM(G6:G10)</f>
        <v>750000000</v>
      </c>
      <c r="I11" s="26">
        <f>SUM(I6:I10)</f>
        <v>750000000</v>
      </c>
    </row>
    <row r="13" spans="2:10" ht="13.95" customHeight="1" x14ac:dyDescent="0.3">
      <c r="B13" s="142" t="s">
        <v>200</v>
      </c>
      <c r="C13" s="110"/>
      <c r="D13" s="110"/>
      <c r="E13" s="110"/>
      <c r="F13" s="110"/>
      <c r="G13" s="110"/>
      <c r="H13" s="110"/>
      <c r="I13" s="110"/>
      <c r="J13" s="111"/>
    </row>
    <row r="14" spans="2:10" x14ac:dyDescent="0.3">
      <c r="B14" s="23" t="s">
        <v>201</v>
      </c>
      <c r="C14" s="24" t="s">
        <v>202</v>
      </c>
      <c r="D14" s="24" t="s">
        <v>203</v>
      </c>
      <c r="E14" s="24" t="s">
        <v>191</v>
      </c>
      <c r="F14" s="20">
        <v>5</v>
      </c>
      <c r="G14" s="20">
        <v>500000000</v>
      </c>
      <c r="H14" s="4" t="s">
        <v>192</v>
      </c>
      <c r="I14" s="21">
        <f>IF(H14="Y",G14,0)</f>
        <v>500000000</v>
      </c>
      <c r="J14" s="25" t="str">
        <f>IFERROR(I14/RAB_TOTAL,"-")</f>
        <v>-</v>
      </c>
    </row>
    <row r="15" spans="2:10" x14ac:dyDescent="0.3">
      <c r="B15" s="23" t="s">
        <v>204</v>
      </c>
      <c r="C15" s="24" t="s">
        <v>205</v>
      </c>
      <c r="D15" s="24" t="s">
        <v>203</v>
      </c>
      <c r="E15" s="24" t="s">
        <v>191</v>
      </c>
      <c r="F15" s="20">
        <v>4</v>
      </c>
      <c r="G15" s="20">
        <v>300000000</v>
      </c>
      <c r="H15" s="4" t="s">
        <v>192</v>
      </c>
      <c r="I15" s="21">
        <f>IF(H15="Y",G15,0)</f>
        <v>300000000</v>
      </c>
      <c r="J15" s="25" t="str">
        <f>IFERROR(I15/RAB_TOTAL,"-")</f>
        <v>-</v>
      </c>
    </row>
    <row r="16" spans="2:10" x14ac:dyDescent="0.3">
      <c r="B16" s="23" t="s">
        <v>206</v>
      </c>
      <c r="C16" s="24" t="s">
        <v>207</v>
      </c>
      <c r="D16" s="24" t="s">
        <v>203</v>
      </c>
      <c r="E16" s="24" t="s">
        <v>191</v>
      </c>
      <c r="F16" s="20">
        <v>8</v>
      </c>
      <c r="G16" s="20">
        <v>480000000</v>
      </c>
      <c r="H16" s="4" t="s">
        <v>192</v>
      </c>
      <c r="I16" s="21">
        <f>IF(H16="Y",G16,0)</f>
        <v>480000000</v>
      </c>
      <c r="J16" s="25" t="str">
        <f>IFERROR(I16/RAB_TOTAL,"-")</f>
        <v>-</v>
      </c>
    </row>
    <row r="17" spans="2:10" x14ac:dyDescent="0.3">
      <c r="B17" s="23" t="s">
        <v>208</v>
      </c>
      <c r="C17" s="24"/>
      <c r="D17" s="24" t="s">
        <v>203</v>
      </c>
      <c r="E17" s="24" t="s">
        <v>191</v>
      </c>
      <c r="F17" s="20"/>
      <c r="G17" s="20"/>
      <c r="H17" s="4" t="s">
        <v>192</v>
      </c>
      <c r="I17" s="21">
        <f>IF(H17="Y",G17,0)</f>
        <v>0</v>
      </c>
      <c r="J17" s="25" t="str">
        <f>IFERROR(I17/RAB_TOTAL,"-")</f>
        <v>-</v>
      </c>
    </row>
    <row r="18" spans="2:10" x14ac:dyDescent="0.3">
      <c r="B18" s="23" t="s">
        <v>209</v>
      </c>
      <c r="C18" s="24"/>
      <c r="D18" s="24" t="s">
        <v>203</v>
      </c>
      <c r="E18" s="24" t="s">
        <v>191</v>
      </c>
      <c r="F18" s="20"/>
      <c r="G18" s="20"/>
      <c r="H18" s="4" t="s">
        <v>192</v>
      </c>
      <c r="I18" s="21">
        <f>IF(H18="Y",G18,0)</f>
        <v>0</v>
      </c>
      <c r="J18" s="25" t="str">
        <f>IFERROR(I18/RAB_TOTAL,"-")</f>
        <v>-</v>
      </c>
    </row>
    <row r="19" spans="2:10" x14ac:dyDescent="0.3">
      <c r="B19" s="141" t="s">
        <v>210</v>
      </c>
      <c r="C19" s="110"/>
      <c r="D19" s="110"/>
      <c r="E19" s="111"/>
      <c r="G19" s="26">
        <f>SUM(G14:G18)</f>
        <v>1280000000</v>
      </c>
      <c r="I19" s="26">
        <f>SUM(I14:I18)</f>
        <v>1280000000</v>
      </c>
    </row>
    <row r="21" spans="2:10" ht="13.95" customHeight="1" x14ac:dyDescent="0.3">
      <c r="B21" s="142" t="s">
        <v>211</v>
      </c>
      <c r="C21" s="110"/>
      <c r="D21" s="110"/>
      <c r="E21" s="110"/>
      <c r="F21" s="110"/>
      <c r="G21" s="110"/>
      <c r="H21" s="110"/>
      <c r="I21" s="110"/>
      <c r="J21" s="111"/>
    </row>
    <row r="22" spans="2:10" x14ac:dyDescent="0.3">
      <c r="B22" s="23" t="s">
        <v>212</v>
      </c>
      <c r="C22" s="24" t="s">
        <v>213</v>
      </c>
      <c r="D22" s="24" t="s">
        <v>214</v>
      </c>
      <c r="E22" s="24" t="s">
        <v>191</v>
      </c>
      <c r="F22" s="20">
        <v>2</v>
      </c>
      <c r="G22" s="20">
        <v>2400000000</v>
      </c>
      <c r="H22" s="4" t="s">
        <v>192</v>
      </c>
      <c r="I22" s="21">
        <f>IF(H22="Y",G22,0)</f>
        <v>2400000000</v>
      </c>
      <c r="J22" s="25" t="str">
        <f>IFERROR(I22/RAB_TOTAL,"-")</f>
        <v>-</v>
      </c>
    </row>
    <row r="23" spans="2:10" x14ac:dyDescent="0.3">
      <c r="B23" s="23" t="s">
        <v>215</v>
      </c>
      <c r="C23" s="24" t="s">
        <v>216</v>
      </c>
      <c r="D23" s="24" t="s">
        <v>214</v>
      </c>
      <c r="E23" s="24" t="s">
        <v>191</v>
      </c>
      <c r="F23" s="20">
        <v>6</v>
      </c>
      <c r="G23" s="20">
        <v>1800000000</v>
      </c>
      <c r="H23" s="4" t="s">
        <v>192</v>
      </c>
      <c r="I23" s="21">
        <f>IF(H23="Y",G23,0)</f>
        <v>1800000000</v>
      </c>
      <c r="J23" s="25" t="str">
        <f>IFERROR(I23/RAB_TOTAL,"-")</f>
        <v>-</v>
      </c>
    </row>
    <row r="24" spans="2:10" x14ac:dyDescent="0.3">
      <c r="B24" s="23" t="s">
        <v>217</v>
      </c>
      <c r="C24" s="24" t="s">
        <v>218</v>
      </c>
      <c r="D24" s="24" t="s">
        <v>214</v>
      </c>
      <c r="E24" s="24" t="s">
        <v>191</v>
      </c>
      <c r="F24" s="20">
        <v>20</v>
      </c>
      <c r="G24" s="20">
        <v>1000000000</v>
      </c>
      <c r="H24" s="4" t="s">
        <v>192</v>
      </c>
      <c r="I24" s="21">
        <f>IF(H24="Y",G24,0)</f>
        <v>1000000000</v>
      </c>
      <c r="J24" s="25" t="str">
        <f>IFERROR(I24/RAB_TOTAL,"-")</f>
        <v>-</v>
      </c>
    </row>
    <row r="25" spans="2:10" x14ac:dyDescent="0.3">
      <c r="B25" s="23" t="s">
        <v>219</v>
      </c>
      <c r="C25" s="24"/>
      <c r="D25" s="24" t="s">
        <v>214</v>
      </c>
      <c r="E25" s="24" t="s">
        <v>191</v>
      </c>
      <c r="F25" s="20"/>
      <c r="G25" s="20"/>
      <c r="H25" s="4" t="s">
        <v>192</v>
      </c>
      <c r="I25" s="21">
        <f>IF(H25="Y",G25,0)</f>
        <v>0</v>
      </c>
      <c r="J25" s="25" t="str">
        <f>IFERROR(I25/RAB_TOTAL,"-")</f>
        <v>-</v>
      </c>
    </row>
    <row r="26" spans="2:10" x14ac:dyDescent="0.3">
      <c r="B26" s="23" t="s">
        <v>220</v>
      </c>
      <c r="C26" s="24"/>
      <c r="D26" s="24" t="s">
        <v>214</v>
      </c>
      <c r="E26" s="24" t="s">
        <v>191</v>
      </c>
      <c r="F26" s="20"/>
      <c r="G26" s="20"/>
      <c r="H26" s="4" t="s">
        <v>192</v>
      </c>
      <c r="I26" s="21">
        <f>IF(H26="Y",G26,0)</f>
        <v>0</v>
      </c>
      <c r="J26" s="25" t="str">
        <f>IFERROR(I26/RAB_TOTAL,"-")</f>
        <v>-</v>
      </c>
    </row>
    <row r="27" spans="2:10" x14ac:dyDescent="0.3">
      <c r="B27" s="141" t="s">
        <v>221</v>
      </c>
      <c r="C27" s="110"/>
      <c r="D27" s="110"/>
      <c r="E27" s="111"/>
      <c r="G27" s="26">
        <f>SUM(G22:G26)</f>
        <v>5200000000</v>
      </c>
      <c r="I27" s="26">
        <f>SUM(I22:I26)</f>
        <v>5200000000</v>
      </c>
    </row>
    <row r="29" spans="2:10" ht="13.95" customHeight="1" x14ac:dyDescent="0.3">
      <c r="B29" s="142" t="s">
        <v>222</v>
      </c>
      <c r="C29" s="110"/>
      <c r="D29" s="110"/>
      <c r="E29" s="110"/>
      <c r="F29" s="110"/>
      <c r="G29" s="110"/>
      <c r="H29" s="110"/>
      <c r="I29" s="110"/>
      <c r="J29" s="111"/>
    </row>
    <row r="30" spans="2:10" x14ac:dyDescent="0.3">
      <c r="B30" s="23" t="s">
        <v>223</v>
      </c>
      <c r="C30" s="24" t="s">
        <v>224</v>
      </c>
      <c r="D30" s="24" t="s">
        <v>225</v>
      </c>
      <c r="E30" s="24" t="s">
        <v>226</v>
      </c>
      <c r="F30" s="20">
        <v>180</v>
      </c>
      <c r="G30" s="20">
        <v>900000000</v>
      </c>
      <c r="H30" s="4" t="s">
        <v>192</v>
      </c>
      <c r="I30" s="21">
        <f>IF(H30="Y",G30,0)</f>
        <v>900000000</v>
      </c>
      <c r="J30" s="25" t="str">
        <f>IFERROR(I30/RAB_TOTAL,"-")</f>
        <v>-</v>
      </c>
    </row>
    <row r="31" spans="2:10" x14ac:dyDescent="0.3">
      <c r="B31" s="23" t="s">
        <v>227</v>
      </c>
      <c r="C31" s="24" t="s">
        <v>228</v>
      </c>
      <c r="D31" s="24" t="s">
        <v>225</v>
      </c>
      <c r="E31" s="24" t="s">
        <v>226</v>
      </c>
      <c r="F31" s="20">
        <v>420</v>
      </c>
      <c r="G31" s="20">
        <v>840000000</v>
      </c>
      <c r="H31" s="4" t="s">
        <v>192</v>
      </c>
      <c r="I31" s="21">
        <f>IF(H31="Y",G31,0)</f>
        <v>840000000</v>
      </c>
      <c r="J31" s="25" t="str">
        <f>IFERROR(I31/RAB_TOTAL,"-")</f>
        <v>-</v>
      </c>
    </row>
    <row r="32" spans="2:10" x14ac:dyDescent="0.3">
      <c r="B32" s="23" t="s">
        <v>229</v>
      </c>
      <c r="C32" s="24" t="s">
        <v>230</v>
      </c>
      <c r="D32" s="24" t="s">
        <v>225</v>
      </c>
      <c r="E32" s="24" t="s">
        <v>226</v>
      </c>
      <c r="F32" s="20">
        <v>850</v>
      </c>
      <c r="G32" s="20">
        <v>850000000</v>
      </c>
      <c r="H32" s="4" t="s">
        <v>192</v>
      </c>
      <c r="I32" s="21">
        <f>IF(H32="Y",G32,0)</f>
        <v>850000000</v>
      </c>
      <c r="J32" s="25" t="str">
        <f>IFERROR(I32/RAB_TOTAL,"-")</f>
        <v>-</v>
      </c>
    </row>
    <row r="33" spans="2:10" x14ac:dyDescent="0.3">
      <c r="B33" s="23" t="s">
        <v>231</v>
      </c>
      <c r="C33" s="24" t="s">
        <v>232</v>
      </c>
      <c r="D33" s="24" t="s">
        <v>225</v>
      </c>
      <c r="E33" s="24" t="s">
        <v>226</v>
      </c>
      <c r="F33" s="20">
        <v>30</v>
      </c>
      <c r="G33" s="20">
        <v>450000000</v>
      </c>
      <c r="H33" s="4" t="s">
        <v>192</v>
      </c>
      <c r="I33" s="21">
        <f>IF(H33="Y",G33,0)</f>
        <v>450000000</v>
      </c>
      <c r="J33" s="25" t="str">
        <f>IFERROR(I33/RAB_TOTAL,"-")</f>
        <v>-</v>
      </c>
    </row>
    <row r="34" spans="2:10" x14ac:dyDescent="0.3">
      <c r="B34" s="23" t="s">
        <v>233</v>
      </c>
      <c r="C34" s="24"/>
      <c r="D34" s="24" t="s">
        <v>225</v>
      </c>
      <c r="E34" s="24" t="s">
        <v>191</v>
      </c>
      <c r="F34" s="20"/>
      <c r="G34" s="20"/>
      <c r="H34" s="4" t="s">
        <v>192</v>
      </c>
      <c r="I34" s="21">
        <f>IF(H34="Y",G34,0)</f>
        <v>0</v>
      </c>
      <c r="J34" s="25" t="str">
        <f>IFERROR(I34/RAB_TOTAL,"-")</f>
        <v>-</v>
      </c>
    </row>
    <row r="35" spans="2:10" x14ac:dyDescent="0.3">
      <c r="B35" s="141" t="s">
        <v>234</v>
      </c>
      <c r="C35" s="110"/>
      <c r="D35" s="110"/>
      <c r="E35" s="111"/>
      <c r="G35" s="26">
        <f>SUM(G30:G34)</f>
        <v>3040000000</v>
      </c>
      <c r="I35" s="26">
        <f>SUM(I30:I34)</f>
        <v>3040000000</v>
      </c>
    </row>
    <row r="37" spans="2:10" ht="13.95" customHeight="1" x14ac:dyDescent="0.3">
      <c r="B37" s="142" t="s">
        <v>235</v>
      </c>
      <c r="C37" s="110"/>
      <c r="D37" s="110"/>
      <c r="E37" s="110"/>
      <c r="F37" s="110"/>
      <c r="G37" s="110"/>
      <c r="H37" s="110"/>
      <c r="I37" s="110"/>
      <c r="J37" s="111"/>
    </row>
    <row r="38" spans="2:10" x14ac:dyDescent="0.3">
      <c r="B38" s="23" t="s">
        <v>236</v>
      </c>
      <c r="C38" s="24" t="s">
        <v>237</v>
      </c>
      <c r="D38" s="24" t="s">
        <v>238</v>
      </c>
      <c r="E38" s="24" t="s">
        <v>191</v>
      </c>
      <c r="F38" s="20">
        <v>12</v>
      </c>
      <c r="G38" s="20">
        <v>720000000</v>
      </c>
      <c r="H38" s="4" t="s">
        <v>192</v>
      </c>
      <c r="I38" s="21">
        <f>IF(H38="Y",G38,0)</f>
        <v>720000000</v>
      </c>
      <c r="J38" s="25" t="str">
        <f>IFERROR(I38/RAB_TOTAL,"-")</f>
        <v>-</v>
      </c>
    </row>
    <row r="39" spans="2:10" x14ac:dyDescent="0.3">
      <c r="B39" s="23" t="s">
        <v>239</v>
      </c>
      <c r="C39" s="24" t="s">
        <v>240</v>
      </c>
      <c r="D39" s="24" t="s">
        <v>238</v>
      </c>
      <c r="E39" s="24" t="s">
        <v>191</v>
      </c>
      <c r="F39" s="20">
        <v>380</v>
      </c>
      <c r="G39" s="20">
        <v>760000000</v>
      </c>
      <c r="H39" s="4" t="s">
        <v>192</v>
      </c>
      <c r="I39" s="21">
        <f>IF(H39="Y",G39,0)</f>
        <v>760000000</v>
      </c>
      <c r="J39" s="25" t="str">
        <f>IFERROR(I39/RAB_TOTAL,"-")</f>
        <v>-</v>
      </c>
    </row>
    <row r="40" spans="2:10" x14ac:dyDescent="0.3">
      <c r="B40" s="23" t="s">
        <v>241</v>
      </c>
      <c r="C40" s="24" t="s">
        <v>242</v>
      </c>
      <c r="D40" s="24" t="s">
        <v>238</v>
      </c>
      <c r="E40" s="24" t="s">
        <v>191</v>
      </c>
      <c r="F40" s="20">
        <v>200</v>
      </c>
      <c r="G40" s="20">
        <v>200000000</v>
      </c>
      <c r="H40" s="4" t="s">
        <v>192</v>
      </c>
      <c r="I40" s="21">
        <f>IF(H40="Y",G40,0)</f>
        <v>200000000</v>
      </c>
      <c r="J40" s="25" t="str">
        <f>IFERROR(I40/RAB_TOTAL,"-")</f>
        <v>-</v>
      </c>
    </row>
    <row r="41" spans="2:10" x14ac:dyDescent="0.3">
      <c r="B41" s="23" t="s">
        <v>243</v>
      </c>
      <c r="C41" s="24"/>
      <c r="D41" s="24" t="s">
        <v>238</v>
      </c>
      <c r="E41" s="24" t="s">
        <v>191</v>
      </c>
      <c r="F41" s="20"/>
      <c r="G41" s="20"/>
      <c r="H41" s="4" t="s">
        <v>192</v>
      </c>
      <c r="I41" s="21">
        <f>IF(H41="Y",G41,0)</f>
        <v>0</v>
      </c>
      <c r="J41" s="25" t="str">
        <f>IFERROR(I41/RAB_TOTAL,"-")</f>
        <v>-</v>
      </c>
    </row>
    <row r="42" spans="2:10" x14ac:dyDescent="0.3">
      <c r="B42" s="23" t="s">
        <v>244</v>
      </c>
      <c r="C42" s="24"/>
      <c r="D42" s="24" t="s">
        <v>238</v>
      </c>
      <c r="E42" s="24" t="s">
        <v>191</v>
      </c>
      <c r="F42" s="20"/>
      <c r="G42" s="20"/>
      <c r="H42" s="4" t="s">
        <v>192</v>
      </c>
      <c r="I42" s="21">
        <f>IF(H42="Y",G42,0)</f>
        <v>0</v>
      </c>
      <c r="J42" s="25" t="str">
        <f>IFERROR(I42/RAB_TOTAL,"-")</f>
        <v>-</v>
      </c>
    </row>
    <row r="43" spans="2:10" x14ac:dyDescent="0.3">
      <c r="B43" s="141" t="s">
        <v>245</v>
      </c>
      <c r="C43" s="110"/>
      <c r="D43" s="110"/>
      <c r="E43" s="111"/>
      <c r="G43" s="26">
        <f>SUM(G38:G42)</f>
        <v>1680000000</v>
      </c>
      <c r="I43" s="26">
        <f>SUM(I38:I42)</f>
        <v>1680000000</v>
      </c>
    </row>
    <row r="45" spans="2:10" ht="13.95" customHeight="1" x14ac:dyDescent="0.3">
      <c r="B45" s="142" t="s">
        <v>246</v>
      </c>
      <c r="C45" s="110"/>
      <c r="D45" s="110"/>
      <c r="E45" s="110"/>
      <c r="F45" s="110"/>
      <c r="G45" s="110"/>
      <c r="H45" s="110"/>
      <c r="I45" s="110"/>
      <c r="J45" s="111"/>
    </row>
    <row r="46" spans="2:10" x14ac:dyDescent="0.3">
      <c r="B46" s="23" t="s">
        <v>247</v>
      </c>
      <c r="C46" s="24" t="s">
        <v>248</v>
      </c>
      <c r="D46" s="24" t="s">
        <v>249</v>
      </c>
      <c r="E46" s="24" t="s">
        <v>191</v>
      </c>
      <c r="F46" s="20">
        <v>45000</v>
      </c>
      <c r="G46" s="20">
        <v>450000000</v>
      </c>
      <c r="H46" s="4" t="s">
        <v>192</v>
      </c>
      <c r="I46" s="21">
        <f>IF(H46="Y",G46,0)</f>
        <v>450000000</v>
      </c>
      <c r="J46" s="25" t="str">
        <f>IFERROR(I46/RAB_TOTAL,"-")</f>
        <v>-</v>
      </c>
    </row>
    <row r="47" spans="2:10" x14ac:dyDescent="0.3">
      <c r="B47" s="23" t="s">
        <v>250</v>
      </c>
      <c r="C47" s="24" t="s">
        <v>251</v>
      </c>
      <c r="D47" s="24" t="s">
        <v>249</v>
      </c>
      <c r="E47" s="24" t="s">
        <v>191</v>
      </c>
      <c r="F47" s="20">
        <v>8000</v>
      </c>
      <c r="G47" s="20">
        <v>400000000</v>
      </c>
      <c r="H47" s="4" t="s">
        <v>192</v>
      </c>
      <c r="I47" s="21">
        <f>IF(H47="Y",G47,0)</f>
        <v>400000000</v>
      </c>
      <c r="J47" s="25" t="str">
        <f>IFERROR(I47/RAB_TOTAL,"-")</f>
        <v>-</v>
      </c>
    </row>
    <row r="48" spans="2:10" x14ac:dyDescent="0.3">
      <c r="B48" s="23" t="s">
        <v>252</v>
      </c>
      <c r="C48" s="24" t="s">
        <v>253</v>
      </c>
      <c r="D48" s="24" t="s">
        <v>249</v>
      </c>
      <c r="E48" s="24" t="s">
        <v>191</v>
      </c>
      <c r="F48" s="20">
        <v>2000</v>
      </c>
      <c r="G48" s="20">
        <v>300000000</v>
      </c>
      <c r="H48" s="4" t="s">
        <v>192</v>
      </c>
      <c r="I48" s="21">
        <f>IF(H48="Y",G48,0)</f>
        <v>300000000</v>
      </c>
      <c r="J48" s="25" t="str">
        <f>IFERROR(I48/RAB_TOTAL,"-")</f>
        <v>-</v>
      </c>
    </row>
    <row r="49" spans="2:10" x14ac:dyDescent="0.3">
      <c r="B49" s="23" t="s">
        <v>254</v>
      </c>
      <c r="C49" s="24" t="s">
        <v>255</v>
      </c>
      <c r="D49" s="24" t="s">
        <v>249</v>
      </c>
      <c r="E49" s="24" t="s">
        <v>191</v>
      </c>
      <c r="F49" s="20">
        <v>500</v>
      </c>
      <c r="G49" s="20">
        <v>150000000</v>
      </c>
      <c r="H49" s="4" t="s">
        <v>192</v>
      </c>
      <c r="I49" s="21">
        <f>IF(H49="Y",G49,0)</f>
        <v>150000000</v>
      </c>
      <c r="J49" s="25" t="str">
        <f>IFERROR(I49/RAB_TOTAL,"-")</f>
        <v>-</v>
      </c>
    </row>
    <row r="50" spans="2:10" x14ac:dyDescent="0.3">
      <c r="B50" s="23" t="s">
        <v>256</v>
      </c>
      <c r="C50" s="24" t="s">
        <v>257</v>
      </c>
      <c r="D50" s="24" t="s">
        <v>249</v>
      </c>
      <c r="E50" s="24" t="s">
        <v>191</v>
      </c>
      <c r="F50" s="20">
        <v>100</v>
      </c>
      <c r="G50" s="20">
        <v>500000000</v>
      </c>
      <c r="H50" s="4" t="s">
        <v>258</v>
      </c>
      <c r="I50" s="21">
        <f>IF(H50="Y",G50,0)</f>
        <v>0</v>
      </c>
      <c r="J50" s="25" t="str">
        <f>IFERROR(I50/RAB_TOTAL,"-")</f>
        <v>-</v>
      </c>
    </row>
    <row r="51" spans="2:10" x14ac:dyDescent="0.3">
      <c r="B51" s="141" t="s">
        <v>259</v>
      </c>
      <c r="C51" s="110"/>
      <c r="D51" s="110"/>
      <c r="E51" s="111"/>
      <c r="G51" s="26">
        <f>SUM(G46:G50)</f>
        <v>1800000000</v>
      </c>
      <c r="I51" s="26">
        <f>SUM(I46:I50)</f>
        <v>1300000000</v>
      </c>
    </row>
    <row r="53" spans="2:10" ht="13.95" customHeight="1" x14ac:dyDescent="0.3">
      <c r="B53" s="142" t="s">
        <v>260</v>
      </c>
      <c r="C53" s="110"/>
      <c r="D53" s="110"/>
      <c r="E53" s="110"/>
      <c r="F53" s="110"/>
      <c r="G53" s="110"/>
      <c r="H53" s="110"/>
      <c r="I53" s="110"/>
      <c r="J53" s="111"/>
    </row>
    <row r="54" spans="2:10" x14ac:dyDescent="0.3">
      <c r="B54" s="23" t="s">
        <v>261</v>
      </c>
      <c r="C54" s="24" t="s">
        <v>262</v>
      </c>
      <c r="D54" s="24" t="s">
        <v>263</v>
      </c>
      <c r="E54" s="24" t="s">
        <v>191</v>
      </c>
      <c r="F54" s="20">
        <v>1</v>
      </c>
      <c r="G54" s="20">
        <v>200000000</v>
      </c>
      <c r="H54" s="4" t="s">
        <v>192</v>
      </c>
      <c r="I54" s="21">
        <f>IF(H54="Y",G54,0)</f>
        <v>200000000</v>
      </c>
      <c r="J54" s="25" t="str">
        <f>IFERROR(I54/RAB_TOTAL,"-")</f>
        <v>-</v>
      </c>
    </row>
    <row r="55" spans="2:10" x14ac:dyDescent="0.3">
      <c r="B55" s="23" t="s">
        <v>264</v>
      </c>
      <c r="C55" s="24" t="s">
        <v>265</v>
      </c>
      <c r="D55" s="24" t="s">
        <v>263</v>
      </c>
      <c r="E55" s="24" t="s">
        <v>191</v>
      </c>
      <c r="F55" s="20">
        <v>80</v>
      </c>
      <c r="G55" s="20">
        <v>80000000</v>
      </c>
      <c r="H55" s="4" t="s">
        <v>192</v>
      </c>
      <c r="I55" s="21">
        <f>IF(H55="Y",G55,0)</f>
        <v>80000000</v>
      </c>
      <c r="J55" s="25" t="str">
        <f>IFERROR(I55/RAB_TOTAL,"-")</f>
        <v>-</v>
      </c>
    </row>
    <row r="56" spans="2:10" x14ac:dyDescent="0.3">
      <c r="B56" s="23" t="s">
        <v>266</v>
      </c>
      <c r="C56" s="24" t="s">
        <v>267</v>
      </c>
      <c r="D56" s="24" t="s">
        <v>263</v>
      </c>
      <c r="E56" s="24" t="s">
        <v>191</v>
      </c>
      <c r="F56" s="20">
        <v>1</v>
      </c>
      <c r="G56" s="20">
        <v>120000000</v>
      </c>
      <c r="H56" s="4" t="s">
        <v>192</v>
      </c>
      <c r="I56" s="21">
        <f>IF(H56="Y",G56,0)</f>
        <v>120000000</v>
      </c>
      <c r="J56" s="25" t="str">
        <f>IFERROR(I56/RAB_TOTAL,"-")</f>
        <v>-</v>
      </c>
    </row>
    <row r="57" spans="2:10" x14ac:dyDescent="0.3">
      <c r="B57" s="23" t="s">
        <v>268</v>
      </c>
      <c r="C57" s="24" t="s">
        <v>269</v>
      </c>
      <c r="D57" s="24" t="s">
        <v>263</v>
      </c>
      <c r="E57" s="24" t="s">
        <v>191</v>
      </c>
      <c r="F57" s="20">
        <v>1</v>
      </c>
      <c r="G57" s="20">
        <v>50000000</v>
      </c>
      <c r="H57" s="4" t="s">
        <v>192</v>
      </c>
      <c r="I57" s="21">
        <f>IF(H57="Y",G57,0)</f>
        <v>50000000</v>
      </c>
      <c r="J57" s="25" t="str">
        <f>IFERROR(I57/RAB_TOTAL,"-")</f>
        <v>-</v>
      </c>
    </row>
    <row r="58" spans="2:10" x14ac:dyDescent="0.3">
      <c r="B58" s="23" t="s">
        <v>270</v>
      </c>
      <c r="C58" s="24"/>
      <c r="D58" s="24" t="s">
        <v>263</v>
      </c>
      <c r="E58" s="24" t="s">
        <v>191</v>
      </c>
      <c r="F58" s="20"/>
      <c r="G58" s="20"/>
      <c r="H58" s="4" t="s">
        <v>192</v>
      </c>
      <c r="I58" s="21">
        <f>IF(H58="Y",G58,0)</f>
        <v>0</v>
      </c>
      <c r="J58" s="25" t="str">
        <f>IFERROR(I58/RAB_TOTAL,"-")</f>
        <v>-</v>
      </c>
    </row>
    <row r="59" spans="2:10" x14ac:dyDescent="0.3">
      <c r="B59" s="141" t="s">
        <v>271</v>
      </c>
      <c r="C59" s="110"/>
      <c r="D59" s="110"/>
      <c r="E59" s="111"/>
      <c r="G59" s="26">
        <f>SUM(G54:G58)</f>
        <v>450000000</v>
      </c>
      <c r="I59" s="26">
        <f>SUM(I54:I58)</f>
        <v>450000000</v>
      </c>
    </row>
    <row r="61" spans="2:10" ht="13.95" customHeight="1" x14ac:dyDescent="0.3">
      <c r="B61" s="142" t="s">
        <v>272</v>
      </c>
      <c r="C61" s="110"/>
      <c r="D61" s="110"/>
      <c r="E61" s="110"/>
      <c r="F61" s="110"/>
      <c r="G61" s="110"/>
      <c r="H61" s="110"/>
      <c r="I61" s="110"/>
      <c r="J61" s="111"/>
    </row>
    <row r="62" spans="2:10" x14ac:dyDescent="0.3">
      <c r="B62" s="23" t="s">
        <v>273</v>
      </c>
      <c r="C62" s="24" t="s">
        <v>274</v>
      </c>
      <c r="D62" s="24" t="s">
        <v>275</v>
      </c>
      <c r="E62" s="24" t="s">
        <v>191</v>
      </c>
      <c r="F62" s="20">
        <v>25</v>
      </c>
      <c r="G62" s="20">
        <v>250000000</v>
      </c>
      <c r="H62" s="4" t="s">
        <v>192</v>
      </c>
      <c r="I62" s="21">
        <f>IF(H62="Y",G62,0)</f>
        <v>250000000</v>
      </c>
      <c r="J62" s="25" t="str">
        <f>IFERROR(I62/RAB_TOTAL,"-")</f>
        <v>-</v>
      </c>
    </row>
    <row r="63" spans="2:10" x14ac:dyDescent="0.3">
      <c r="B63" s="23" t="s">
        <v>276</v>
      </c>
      <c r="C63" s="24" t="s">
        <v>277</v>
      </c>
      <c r="D63" s="24" t="s">
        <v>275</v>
      </c>
      <c r="E63" s="24" t="s">
        <v>191</v>
      </c>
      <c r="F63" s="20">
        <v>10</v>
      </c>
      <c r="G63" s="20">
        <v>100000000</v>
      </c>
      <c r="H63" s="4" t="s">
        <v>192</v>
      </c>
      <c r="I63" s="21">
        <f>IF(H63="Y",G63,0)</f>
        <v>100000000</v>
      </c>
      <c r="J63" s="25" t="str">
        <f>IFERROR(I63/RAB_TOTAL,"-")</f>
        <v>-</v>
      </c>
    </row>
    <row r="64" spans="2:10" x14ac:dyDescent="0.3">
      <c r="B64" s="23" t="s">
        <v>278</v>
      </c>
      <c r="C64" s="24" t="s">
        <v>279</v>
      </c>
      <c r="D64" s="24" t="s">
        <v>275</v>
      </c>
      <c r="E64" s="24" t="s">
        <v>191</v>
      </c>
      <c r="F64" s="20">
        <v>1</v>
      </c>
      <c r="G64" s="20">
        <v>80000000</v>
      </c>
      <c r="H64" s="4" t="s">
        <v>192</v>
      </c>
      <c r="I64" s="21">
        <f>IF(H64="Y",G64,0)</f>
        <v>80000000</v>
      </c>
      <c r="J64" s="25" t="str">
        <f>IFERROR(I64/RAB_TOTAL,"-")</f>
        <v>-</v>
      </c>
    </row>
    <row r="65" spans="2:10" x14ac:dyDescent="0.3">
      <c r="B65" s="23" t="s">
        <v>280</v>
      </c>
      <c r="C65" s="24"/>
      <c r="D65" s="24" t="s">
        <v>275</v>
      </c>
      <c r="E65" s="24" t="s">
        <v>191</v>
      </c>
      <c r="F65" s="20"/>
      <c r="G65" s="20"/>
      <c r="H65" s="4" t="s">
        <v>192</v>
      </c>
      <c r="I65" s="21">
        <f>IF(H65="Y",G65,0)</f>
        <v>0</v>
      </c>
      <c r="J65" s="25" t="str">
        <f>IFERROR(I65/RAB_TOTAL,"-")</f>
        <v>-</v>
      </c>
    </row>
    <row r="66" spans="2:10" x14ac:dyDescent="0.3">
      <c r="B66" s="23" t="s">
        <v>281</v>
      </c>
      <c r="C66" s="24"/>
      <c r="D66" s="24" t="s">
        <v>275</v>
      </c>
      <c r="E66" s="24" t="s">
        <v>191</v>
      </c>
      <c r="F66" s="20"/>
      <c r="G66" s="20"/>
      <c r="H66" s="4" t="s">
        <v>192</v>
      </c>
      <c r="I66" s="21">
        <f>IF(H66="Y",G66,0)</f>
        <v>0</v>
      </c>
      <c r="J66" s="25" t="str">
        <f>IFERROR(I66/RAB_TOTAL,"-")</f>
        <v>-</v>
      </c>
    </row>
    <row r="67" spans="2:10" x14ac:dyDescent="0.3">
      <c r="B67" s="141" t="s">
        <v>282</v>
      </c>
      <c r="C67" s="110"/>
      <c r="D67" s="110"/>
      <c r="E67" s="111"/>
      <c r="G67" s="26">
        <f>SUM(G62:G66)</f>
        <v>430000000</v>
      </c>
      <c r="I67" s="26">
        <f>SUM(I62:I66)</f>
        <v>430000000</v>
      </c>
    </row>
    <row r="69" spans="2:10" ht="13.95" customHeight="1" x14ac:dyDescent="0.3">
      <c r="B69" s="142" t="s">
        <v>283</v>
      </c>
      <c r="C69" s="110"/>
      <c r="D69" s="110"/>
      <c r="E69" s="110"/>
      <c r="F69" s="110"/>
      <c r="G69" s="110"/>
      <c r="H69" s="110"/>
      <c r="I69" s="110"/>
      <c r="J69" s="111"/>
    </row>
    <row r="70" spans="2:10" x14ac:dyDescent="0.3">
      <c r="B70" s="23" t="s">
        <v>284</v>
      </c>
      <c r="C70" s="24" t="s">
        <v>285</v>
      </c>
      <c r="D70" s="24" t="s">
        <v>286</v>
      </c>
      <c r="E70" s="24" t="s">
        <v>191</v>
      </c>
      <c r="F70" s="20">
        <v>1</v>
      </c>
      <c r="G70" s="20">
        <v>60000000</v>
      </c>
      <c r="H70" s="4" t="s">
        <v>192</v>
      </c>
      <c r="I70" s="21">
        <f>IF(H70="Y",G70,0)</f>
        <v>60000000</v>
      </c>
      <c r="J70" s="25" t="str">
        <f>IFERROR(I70/RAB_TOTAL,"-")</f>
        <v>-</v>
      </c>
    </row>
    <row r="71" spans="2:10" x14ac:dyDescent="0.3">
      <c r="B71" s="23" t="s">
        <v>287</v>
      </c>
      <c r="C71" s="24" t="s">
        <v>288</v>
      </c>
      <c r="D71" s="24" t="s">
        <v>286</v>
      </c>
      <c r="E71" s="24" t="s">
        <v>191</v>
      </c>
      <c r="F71" s="20">
        <v>1</v>
      </c>
      <c r="G71" s="20">
        <v>40000000</v>
      </c>
      <c r="H71" s="4" t="s">
        <v>192</v>
      </c>
      <c r="I71" s="21">
        <f>IF(H71="Y",G71,0)</f>
        <v>40000000</v>
      </c>
      <c r="J71" s="25" t="str">
        <f>IFERROR(I71/RAB_TOTAL,"-")</f>
        <v>-</v>
      </c>
    </row>
    <row r="72" spans="2:10" x14ac:dyDescent="0.3">
      <c r="B72" s="23" t="s">
        <v>289</v>
      </c>
      <c r="C72" s="24"/>
      <c r="D72" s="24" t="s">
        <v>286</v>
      </c>
      <c r="E72" s="24" t="s">
        <v>191</v>
      </c>
      <c r="F72" s="20"/>
      <c r="G72" s="20"/>
      <c r="H72" s="4" t="s">
        <v>192</v>
      </c>
      <c r="I72" s="21">
        <f>IF(H72="Y",G72,0)</f>
        <v>0</v>
      </c>
      <c r="J72" s="25" t="str">
        <f>IFERROR(I72/RAB_TOTAL,"-")</f>
        <v>-</v>
      </c>
    </row>
    <row r="73" spans="2:10" x14ac:dyDescent="0.3">
      <c r="B73" s="23" t="s">
        <v>290</v>
      </c>
      <c r="C73" s="24"/>
      <c r="D73" s="24" t="s">
        <v>286</v>
      </c>
      <c r="E73" s="24" t="s">
        <v>191</v>
      </c>
      <c r="F73" s="20"/>
      <c r="G73" s="20"/>
      <c r="H73" s="4" t="s">
        <v>192</v>
      </c>
      <c r="I73" s="21">
        <f>IF(H73="Y",G73,0)</f>
        <v>0</v>
      </c>
      <c r="J73" s="25" t="str">
        <f>IFERROR(I73/RAB_TOTAL,"-")</f>
        <v>-</v>
      </c>
    </row>
    <row r="74" spans="2:10" x14ac:dyDescent="0.3">
      <c r="B74" s="23" t="s">
        <v>291</v>
      </c>
      <c r="C74" s="24"/>
      <c r="D74" s="24" t="s">
        <v>286</v>
      </c>
      <c r="E74" s="24" t="s">
        <v>191</v>
      </c>
      <c r="F74" s="20"/>
      <c r="G74" s="20"/>
      <c r="H74" s="4" t="s">
        <v>192</v>
      </c>
      <c r="I74" s="21">
        <f>IF(H74="Y",G74,0)</f>
        <v>0</v>
      </c>
      <c r="J74" s="25" t="str">
        <f>IFERROR(I74/RAB_TOTAL,"-")</f>
        <v>-</v>
      </c>
    </row>
    <row r="75" spans="2:10" x14ac:dyDescent="0.3">
      <c r="B75" s="141" t="s">
        <v>292</v>
      </c>
      <c r="C75" s="110"/>
      <c r="D75" s="110"/>
      <c r="E75" s="111"/>
      <c r="G75" s="26">
        <f>SUM(G70:G74)</f>
        <v>100000000</v>
      </c>
      <c r="I75" s="26">
        <f>SUM(I70:I74)</f>
        <v>100000000</v>
      </c>
    </row>
    <row r="77" spans="2:10" ht="15.45" customHeight="1" x14ac:dyDescent="0.3">
      <c r="B77" s="146" t="s">
        <v>293</v>
      </c>
      <c r="C77" s="110"/>
      <c r="D77" s="110"/>
      <c r="E77" s="110"/>
      <c r="F77" s="111"/>
      <c r="I77" s="27">
        <f>SUMIF(H5:H76,"Y",G5:G76)</f>
        <v>14230000000</v>
      </c>
    </row>
    <row r="78" spans="2:10" x14ac:dyDescent="0.3">
      <c r="I78" s="28" t="s">
        <v>294</v>
      </c>
    </row>
    <row r="80" spans="2:10" ht="13.95" customHeight="1" x14ac:dyDescent="0.3">
      <c r="B80" s="145" t="s">
        <v>295</v>
      </c>
      <c r="C80" s="110"/>
      <c r="D80" s="110"/>
      <c r="E80" s="110"/>
      <c r="F80" s="110"/>
      <c r="G80" s="110"/>
      <c r="H80" s="110"/>
      <c r="I80" s="110"/>
      <c r="J80" s="111"/>
    </row>
    <row r="81" spans="2:6" x14ac:dyDescent="0.3">
      <c r="B81" s="2" t="s">
        <v>296</v>
      </c>
      <c r="D81" s="2" t="s">
        <v>191</v>
      </c>
      <c r="F81" s="29">
        <f>COUNTIF(H5:H76,"N")</f>
        <v>1</v>
      </c>
    </row>
    <row r="82" spans="2:6" x14ac:dyDescent="0.3">
      <c r="B82" s="2" t="s">
        <v>297</v>
      </c>
      <c r="D82" s="2" t="s">
        <v>298</v>
      </c>
      <c r="F82" s="29">
        <f>SUMIF(H5:H76,"N",G5:G76)</f>
        <v>500000000</v>
      </c>
    </row>
  </sheetData>
  <mergeCells count="22">
    <mergeCell ref="B3:J3"/>
    <mergeCell ref="B19:E19"/>
    <mergeCell ref="B21:J21"/>
    <mergeCell ref="B2:J2"/>
    <mergeCell ref="B80:J80"/>
    <mergeCell ref="B5:J5"/>
    <mergeCell ref="B45:J45"/>
    <mergeCell ref="B43:E43"/>
    <mergeCell ref="B11:E11"/>
    <mergeCell ref="B67:E67"/>
    <mergeCell ref="B77:F77"/>
    <mergeCell ref="B35:E35"/>
    <mergeCell ref="B37:J37"/>
    <mergeCell ref="B75:E75"/>
    <mergeCell ref="B59:E59"/>
    <mergeCell ref="B61:J61"/>
    <mergeCell ref="B51:E51"/>
    <mergeCell ref="B53:J53"/>
    <mergeCell ref="B13:J13"/>
    <mergeCell ref="B69:J69"/>
    <mergeCell ref="B29:J29"/>
    <mergeCell ref="B27:E27"/>
  </mergeCells>
  <hyperlinks>
    <hyperlink ref="B1" location="'02_Loss_Trajectory'!A1" display="◄ Prev. Pg" xr:uid="{00000000-0004-0000-0400-000000000000}"/>
    <hyperlink ref="C1" location="'Control Panel'!A1" display="◄◄◄ Control Panel" xr:uid="{00000000-0004-0000-0400-00000100000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8A217"/>
  </sheetPr>
  <dimension ref="B1:Q24"/>
  <sheetViews>
    <sheetView showGridLines="0" zoomScale="83" workbookViewId="0">
      <selection activeCell="J27" sqref="J27"/>
    </sheetView>
  </sheetViews>
  <sheetFormatPr defaultRowHeight="14.4" x14ac:dyDescent="0.3"/>
  <cols>
    <col min="1" max="1" width="2" customWidth="1"/>
    <col min="2" max="2" width="6.5546875" customWidth="1"/>
    <col min="3" max="3" width="38" customWidth="1"/>
    <col min="4" max="4" width="3.77734375" bestFit="1" customWidth="1"/>
    <col min="5" max="5" width="13.77734375" bestFit="1" customWidth="1"/>
    <col min="6" max="6" width="14.44140625" bestFit="1" customWidth="1"/>
    <col min="7" max="7" width="16.33203125" bestFit="1" customWidth="1"/>
    <col min="8" max="17" width="14" customWidth="1"/>
  </cols>
  <sheetData>
    <row r="1" spans="2:17" ht="13.05" customHeight="1" x14ac:dyDescent="0.3">
      <c r="B1" s="70" t="s">
        <v>0</v>
      </c>
      <c r="C1" s="70" t="s">
        <v>1</v>
      </c>
    </row>
    <row r="2" spans="2:17" ht="15.45" customHeight="1" x14ac:dyDescent="0.3">
      <c r="B2" s="143" t="s">
        <v>299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1"/>
    </row>
    <row r="3" spans="2:17" ht="24" customHeight="1" x14ac:dyDescent="0.3">
      <c r="B3" s="112" t="s">
        <v>300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1"/>
    </row>
    <row r="4" spans="2:17" ht="24" customHeight="1" x14ac:dyDescent="0.3">
      <c r="B4" s="12" t="s">
        <v>2</v>
      </c>
      <c r="C4" s="12" t="s">
        <v>301</v>
      </c>
      <c r="D4" s="12" t="s">
        <v>3</v>
      </c>
      <c r="E4" s="12" t="s">
        <v>302</v>
      </c>
      <c r="F4" s="12" t="s">
        <v>126</v>
      </c>
      <c r="G4" s="12" t="s">
        <v>127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2" t="s">
        <v>14</v>
      </c>
    </row>
    <row r="5" spans="2:17" x14ac:dyDescent="0.3">
      <c r="B5" s="13"/>
      <c r="C5" s="13"/>
      <c r="D5" s="13"/>
      <c r="E5" s="13"/>
      <c r="F5" s="14" t="s">
        <v>303</v>
      </c>
      <c r="G5" s="14" t="s">
        <v>304</v>
      </c>
      <c r="H5" s="14" t="s">
        <v>15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  <c r="P5" s="14" t="s">
        <v>16</v>
      </c>
      <c r="Q5" s="14" t="s">
        <v>16</v>
      </c>
    </row>
    <row r="6" spans="2:17" x14ac:dyDescent="0.3">
      <c r="B6" s="4" t="s">
        <v>305</v>
      </c>
      <c r="C6" s="2" t="s">
        <v>306</v>
      </c>
      <c r="D6" s="15" t="s">
        <v>298</v>
      </c>
      <c r="E6" s="97">
        <f t="shared" ref="E6:E14" si="0">SUM(H6:Q6)</f>
        <v>4150000000</v>
      </c>
      <c r="F6" s="96">
        <v>500000000</v>
      </c>
      <c r="G6" s="96">
        <v>500000000</v>
      </c>
      <c r="H6" s="96">
        <v>500000000</v>
      </c>
      <c r="I6" s="96">
        <v>600000000</v>
      </c>
      <c r="J6" s="96">
        <v>500000000</v>
      </c>
      <c r="K6" s="96">
        <v>400000000</v>
      </c>
      <c r="L6" s="96">
        <v>400000000</v>
      </c>
      <c r="M6" s="96">
        <v>350000000</v>
      </c>
      <c r="N6" s="96">
        <v>350000000</v>
      </c>
      <c r="O6" s="96">
        <v>350000000</v>
      </c>
      <c r="P6" s="96">
        <v>350000000</v>
      </c>
      <c r="Q6" s="96">
        <v>350000000</v>
      </c>
    </row>
    <row r="7" spans="2:17" x14ac:dyDescent="0.3">
      <c r="B7" s="4" t="s">
        <v>307</v>
      </c>
      <c r="C7" s="2" t="s">
        <v>308</v>
      </c>
      <c r="D7" s="15" t="s">
        <v>298</v>
      </c>
      <c r="E7" s="97">
        <f t="shared" si="0"/>
        <v>1450000000</v>
      </c>
      <c r="F7" s="96">
        <v>200000000</v>
      </c>
      <c r="G7" s="96">
        <v>200000000</v>
      </c>
      <c r="H7" s="96">
        <v>200000000</v>
      </c>
      <c r="I7" s="96">
        <v>200000000</v>
      </c>
      <c r="J7" s="96">
        <v>150000000</v>
      </c>
      <c r="K7" s="96">
        <v>150000000</v>
      </c>
      <c r="L7" s="96">
        <v>150000000</v>
      </c>
      <c r="M7" s="96">
        <v>120000000</v>
      </c>
      <c r="N7" s="96">
        <v>120000000</v>
      </c>
      <c r="O7" s="96">
        <v>120000000</v>
      </c>
      <c r="P7" s="96">
        <v>120000000</v>
      </c>
      <c r="Q7" s="96">
        <v>120000000</v>
      </c>
    </row>
    <row r="8" spans="2:17" x14ac:dyDescent="0.3">
      <c r="B8" s="4" t="s">
        <v>309</v>
      </c>
      <c r="C8" s="2" t="s">
        <v>310</v>
      </c>
      <c r="D8" s="15" t="s">
        <v>298</v>
      </c>
      <c r="E8" s="97">
        <f t="shared" si="0"/>
        <v>1140000000</v>
      </c>
      <c r="F8" s="96">
        <v>150000000</v>
      </c>
      <c r="G8" s="96">
        <v>150000000</v>
      </c>
      <c r="H8" s="96">
        <v>150000000</v>
      </c>
      <c r="I8" s="96">
        <v>150000000</v>
      </c>
      <c r="J8" s="96">
        <v>120000000</v>
      </c>
      <c r="K8" s="96">
        <v>120000000</v>
      </c>
      <c r="L8" s="96">
        <v>100000000</v>
      </c>
      <c r="M8" s="96">
        <v>100000000</v>
      </c>
      <c r="N8" s="96">
        <v>100000000</v>
      </c>
      <c r="O8" s="96">
        <v>100000000</v>
      </c>
      <c r="P8" s="96">
        <v>100000000</v>
      </c>
      <c r="Q8" s="96">
        <v>100000000</v>
      </c>
    </row>
    <row r="9" spans="2:17" x14ac:dyDescent="0.3">
      <c r="B9" s="4" t="s">
        <v>311</v>
      </c>
      <c r="C9" s="2" t="s">
        <v>312</v>
      </c>
      <c r="D9" s="15" t="s">
        <v>298</v>
      </c>
      <c r="E9" s="97">
        <f t="shared" si="0"/>
        <v>780000000</v>
      </c>
      <c r="F9" s="96">
        <v>100000000</v>
      </c>
      <c r="G9" s="96">
        <v>100000000</v>
      </c>
      <c r="H9" s="96">
        <v>100000000</v>
      </c>
      <c r="I9" s="96">
        <v>100000000</v>
      </c>
      <c r="J9" s="96">
        <v>80000000</v>
      </c>
      <c r="K9" s="96">
        <v>80000000</v>
      </c>
      <c r="L9" s="96">
        <v>70000000</v>
      </c>
      <c r="M9" s="96">
        <v>70000000</v>
      </c>
      <c r="N9" s="96">
        <v>70000000</v>
      </c>
      <c r="O9" s="96">
        <v>70000000</v>
      </c>
      <c r="P9" s="96">
        <v>70000000</v>
      </c>
      <c r="Q9" s="96">
        <v>70000000</v>
      </c>
    </row>
    <row r="10" spans="2:17" x14ac:dyDescent="0.3">
      <c r="B10" s="4" t="s">
        <v>313</v>
      </c>
      <c r="C10" s="2" t="s">
        <v>314</v>
      </c>
      <c r="D10" s="15" t="s">
        <v>298</v>
      </c>
      <c r="E10" s="97">
        <f t="shared" si="0"/>
        <v>1020000000</v>
      </c>
      <c r="F10" s="96">
        <v>120000000</v>
      </c>
      <c r="G10" s="96">
        <v>120000000</v>
      </c>
      <c r="H10" s="96">
        <v>120000000</v>
      </c>
      <c r="I10" s="96">
        <v>150000000</v>
      </c>
      <c r="J10" s="96">
        <v>150000000</v>
      </c>
      <c r="K10" s="96">
        <v>100000000</v>
      </c>
      <c r="L10" s="96">
        <v>100000000</v>
      </c>
      <c r="M10" s="96">
        <v>80000000</v>
      </c>
      <c r="N10" s="96">
        <v>80000000</v>
      </c>
      <c r="O10" s="96">
        <v>80000000</v>
      </c>
      <c r="P10" s="96">
        <v>80000000</v>
      </c>
      <c r="Q10" s="96">
        <v>80000000</v>
      </c>
    </row>
    <row r="11" spans="2:17" x14ac:dyDescent="0.3">
      <c r="B11" s="4" t="s">
        <v>315</v>
      </c>
      <c r="C11" s="2" t="s">
        <v>316</v>
      </c>
      <c r="D11" s="15" t="s">
        <v>298</v>
      </c>
      <c r="E11" s="97">
        <f t="shared" si="0"/>
        <v>315000000</v>
      </c>
      <c r="F11" s="96">
        <v>50000000</v>
      </c>
      <c r="G11" s="96">
        <v>50000000</v>
      </c>
      <c r="H11" s="96">
        <v>50000000</v>
      </c>
      <c r="I11" s="96">
        <v>50000000</v>
      </c>
      <c r="J11" s="96">
        <v>30000000</v>
      </c>
      <c r="K11" s="96">
        <v>30000000</v>
      </c>
      <c r="L11" s="96">
        <v>30000000</v>
      </c>
      <c r="M11" s="96">
        <v>25000000</v>
      </c>
      <c r="N11" s="96">
        <v>25000000</v>
      </c>
      <c r="O11" s="96">
        <v>25000000</v>
      </c>
      <c r="P11" s="96">
        <v>25000000</v>
      </c>
      <c r="Q11" s="96">
        <v>25000000</v>
      </c>
    </row>
    <row r="12" spans="2:17" x14ac:dyDescent="0.3">
      <c r="B12" s="4" t="s">
        <v>317</v>
      </c>
      <c r="C12" s="2" t="s">
        <v>318</v>
      </c>
      <c r="D12" s="15" t="s">
        <v>298</v>
      </c>
      <c r="E12" s="97">
        <f t="shared" si="0"/>
        <v>295000000</v>
      </c>
      <c r="F12" s="96">
        <v>40000000</v>
      </c>
      <c r="G12" s="96">
        <v>40000000</v>
      </c>
      <c r="H12" s="96">
        <v>40000000</v>
      </c>
      <c r="I12" s="96">
        <v>40000000</v>
      </c>
      <c r="J12" s="96">
        <v>30000000</v>
      </c>
      <c r="K12" s="96">
        <v>30000000</v>
      </c>
      <c r="L12" s="96">
        <v>30000000</v>
      </c>
      <c r="M12" s="96">
        <v>25000000</v>
      </c>
      <c r="N12" s="96">
        <v>25000000</v>
      </c>
      <c r="O12" s="96">
        <v>25000000</v>
      </c>
      <c r="P12" s="96">
        <v>25000000</v>
      </c>
      <c r="Q12" s="96">
        <v>25000000</v>
      </c>
    </row>
    <row r="13" spans="2:17" x14ac:dyDescent="0.3">
      <c r="B13" s="4" t="s">
        <v>319</v>
      </c>
      <c r="C13" s="2" t="s">
        <v>320</v>
      </c>
      <c r="D13" s="15" t="s">
        <v>298</v>
      </c>
      <c r="E13" s="97">
        <f t="shared" si="0"/>
        <v>195000000</v>
      </c>
      <c r="F13" s="96">
        <v>30000000</v>
      </c>
      <c r="G13" s="96">
        <v>30000000</v>
      </c>
      <c r="H13" s="96">
        <v>30000000</v>
      </c>
      <c r="I13" s="96">
        <v>30000000</v>
      </c>
      <c r="J13" s="96">
        <v>20000000</v>
      </c>
      <c r="K13" s="96">
        <v>20000000</v>
      </c>
      <c r="L13" s="96">
        <v>20000000</v>
      </c>
      <c r="M13" s="96">
        <v>15000000</v>
      </c>
      <c r="N13" s="96">
        <v>15000000</v>
      </c>
      <c r="O13" s="96">
        <v>15000000</v>
      </c>
      <c r="P13" s="96">
        <v>15000000</v>
      </c>
      <c r="Q13" s="96">
        <v>15000000</v>
      </c>
    </row>
    <row r="14" spans="2:17" x14ac:dyDescent="0.3">
      <c r="B14" s="4" t="s">
        <v>321</v>
      </c>
      <c r="C14" s="2" t="s">
        <v>322</v>
      </c>
      <c r="D14" s="15" t="s">
        <v>298</v>
      </c>
      <c r="E14" s="97">
        <f t="shared" si="0"/>
        <v>100000000</v>
      </c>
      <c r="F14" s="96">
        <v>10000000</v>
      </c>
      <c r="G14" s="96">
        <v>10000000</v>
      </c>
      <c r="H14" s="96">
        <v>10000000</v>
      </c>
      <c r="I14" s="96">
        <v>10000000</v>
      </c>
      <c r="J14" s="96">
        <v>10000000</v>
      </c>
      <c r="K14" s="96">
        <v>10000000</v>
      </c>
      <c r="L14" s="96">
        <v>10000000</v>
      </c>
      <c r="M14" s="96">
        <v>10000000</v>
      </c>
      <c r="N14" s="96">
        <v>10000000</v>
      </c>
      <c r="O14" s="96">
        <v>10000000</v>
      </c>
      <c r="P14" s="96">
        <v>10000000</v>
      </c>
      <c r="Q14" s="96">
        <v>10000000</v>
      </c>
    </row>
    <row r="15" spans="2:17" x14ac:dyDescent="0.3">
      <c r="B15" s="144" t="s">
        <v>323</v>
      </c>
      <c r="C15" s="110"/>
      <c r="D15" s="111"/>
      <c r="F15" s="31">
        <f t="shared" ref="F15:Q15" si="1">SUM(F6:F14)</f>
        <v>1200000000</v>
      </c>
      <c r="G15" s="31">
        <f t="shared" si="1"/>
        <v>1200000000</v>
      </c>
      <c r="H15" s="31">
        <f t="shared" si="1"/>
        <v>1200000000</v>
      </c>
      <c r="I15" s="31">
        <f t="shared" si="1"/>
        <v>1330000000</v>
      </c>
      <c r="J15" s="31">
        <f t="shared" si="1"/>
        <v>1090000000</v>
      </c>
      <c r="K15" s="31">
        <f t="shared" si="1"/>
        <v>940000000</v>
      </c>
      <c r="L15" s="31">
        <f t="shared" si="1"/>
        <v>910000000</v>
      </c>
      <c r="M15" s="31">
        <f t="shared" si="1"/>
        <v>795000000</v>
      </c>
      <c r="N15" s="31">
        <f t="shared" si="1"/>
        <v>795000000</v>
      </c>
      <c r="O15" s="31">
        <f t="shared" si="1"/>
        <v>795000000</v>
      </c>
      <c r="P15" s="31">
        <f t="shared" si="1"/>
        <v>795000000</v>
      </c>
      <c r="Q15" s="31">
        <f t="shared" si="1"/>
        <v>795000000</v>
      </c>
    </row>
    <row r="17" spans="2:14" ht="13.95" customHeight="1" x14ac:dyDescent="0.3">
      <c r="B17" s="102" t="s">
        <v>324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</row>
    <row r="18" spans="2:14" ht="24" customHeight="1" x14ac:dyDescent="0.3">
      <c r="B18" s="12" t="s">
        <v>2</v>
      </c>
      <c r="C18" s="12" t="s">
        <v>325</v>
      </c>
      <c r="D18" s="12" t="s">
        <v>3</v>
      </c>
      <c r="E18" s="12" t="s">
        <v>5</v>
      </c>
      <c r="F18" s="12" t="s">
        <v>6</v>
      </c>
      <c r="G18" s="12" t="s">
        <v>7</v>
      </c>
      <c r="H18" s="12" t="s">
        <v>8</v>
      </c>
      <c r="I18" s="12" t="s">
        <v>9</v>
      </c>
      <c r="J18" s="12" t="s">
        <v>10</v>
      </c>
      <c r="K18" s="12" t="s">
        <v>11</v>
      </c>
      <c r="L18" s="12" t="s">
        <v>12</v>
      </c>
      <c r="M18" s="12" t="s">
        <v>13</v>
      </c>
      <c r="N18" s="12" t="s">
        <v>14</v>
      </c>
    </row>
    <row r="19" spans="2:14" x14ac:dyDescent="0.3">
      <c r="B19" s="13"/>
      <c r="C19" s="13"/>
      <c r="D19" s="13"/>
      <c r="E19" s="14" t="s">
        <v>15</v>
      </c>
      <c r="F19" s="14" t="s">
        <v>16</v>
      </c>
      <c r="G19" s="14" t="s">
        <v>16</v>
      </c>
      <c r="H19" s="14" t="s">
        <v>16</v>
      </c>
      <c r="I19" s="14" t="s">
        <v>16</v>
      </c>
      <c r="J19" s="14" t="s">
        <v>16</v>
      </c>
      <c r="K19" s="14" t="s">
        <v>16</v>
      </c>
      <c r="L19" s="14" t="s">
        <v>16</v>
      </c>
      <c r="M19" s="14" t="s">
        <v>16</v>
      </c>
      <c r="N19" s="14" t="s">
        <v>16</v>
      </c>
    </row>
    <row r="20" spans="2:14" x14ac:dyDescent="0.3">
      <c r="B20" s="4" t="s">
        <v>326</v>
      </c>
      <c r="C20" s="2" t="s">
        <v>327</v>
      </c>
      <c r="D20" s="15" t="s">
        <v>298</v>
      </c>
      <c r="E20" s="21">
        <f>'03_Fixed Assets'!I77</f>
        <v>14230000000</v>
      </c>
      <c r="F20" s="21">
        <f t="shared" ref="F20:N20" si="2">E23</f>
        <v>14412132000</v>
      </c>
      <c r="G20" s="21">
        <f t="shared" si="2"/>
        <v>14732890000</v>
      </c>
      <c r="H20" s="21">
        <f t="shared" si="2"/>
        <v>14822274000</v>
      </c>
      <c r="I20" s="21">
        <f t="shared" si="2"/>
        <v>14770284000</v>
      </c>
      <c r="J20" s="21">
        <f t="shared" si="2"/>
        <v>14853720000</v>
      </c>
      <c r="K20" s="21">
        <f t="shared" si="2"/>
        <v>14895462000</v>
      </c>
      <c r="L20" s="21">
        <f t="shared" si="2"/>
        <v>14943870000</v>
      </c>
      <c r="M20" s="21">
        <f t="shared" si="2"/>
        <v>14998944000</v>
      </c>
      <c r="N20" s="21">
        <f t="shared" si="2"/>
        <v>15094484000</v>
      </c>
    </row>
    <row r="21" spans="2:14" x14ac:dyDescent="0.3">
      <c r="B21" s="4" t="s">
        <v>328</v>
      </c>
      <c r="C21" s="2" t="s">
        <v>329</v>
      </c>
      <c r="D21" s="15" t="s">
        <v>298</v>
      </c>
      <c r="E21" s="21">
        <f t="shared" ref="E21:N21" si="3">H15</f>
        <v>1200000000</v>
      </c>
      <c r="F21" s="21">
        <f t="shared" si="3"/>
        <v>1330000000</v>
      </c>
      <c r="G21" s="21">
        <f t="shared" si="3"/>
        <v>1090000000</v>
      </c>
      <c r="H21" s="21">
        <f t="shared" si="3"/>
        <v>940000000</v>
      </c>
      <c r="I21" s="21">
        <f t="shared" si="3"/>
        <v>910000000</v>
      </c>
      <c r="J21" s="21">
        <f t="shared" si="3"/>
        <v>795000000</v>
      </c>
      <c r="K21" s="21">
        <f t="shared" si="3"/>
        <v>795000000</v>
      </c>
      <c r="L21" s="21">
        <f t="shared" si="3"/>
        <v>795000000</v>
      </c>
      <c r="M21" s="21">
        <f t="shared" si="3"/>
        <v>795000000</v>
      </c>
      <c r="N21" s="21">
        <f t="shared" si="3"/>
        <v>795000000</v>
      </c>
    </row>
    <row r="22" spans="2:14" ht="15" customHeight="1" thickBot="1" x14ac:dyDescent="0.35">
      <c r="B22" s="4" t="s">
        <v>330</v>
      </c>
      <c r="C22" s="2" t="s">
        <v>331</v>
      </c>
      <c r="D22" s="15" t="s">
        <v>298</v>
      </c>
      <c r="E22" s="62">
        <f>'07_Depreciation'!F15</f>
        <v>1017868000</v>
      </c>
      <c r="F22" s="62">
        <f>'07_Depreciation'!G15</f>
        <v>1009242000</v>
      </c>
      <c r="G22" s="62">
        <f>'07_Depreciation'!H15</f>
        <v>1000616000</v>
      </c>
      <c r="H22" s="62">
        <f>'07_Depreciation'!I15</f>
        <v>991990000</v>
      </c>
      <c r="I22" s="62">
        <f>'07_Depreciation'!J15</f>
        <v>826564000.00000012</v>
      </c>
      <c r="J22" s="62">
        <f>'07_Depreciation'!K15</f>
        <v>753258000</v>
      </c>
      <c r="K22" s="62">
        <f>'07_Depreciation'!L15</f>
        <v>746592000</v>
      </c>
      <c r="L22" s="62">
        <f>'07_Depreciation'!M15</f>
        <v>739926000</v>
      </c>
      <c r="M22" s="62">
        <f>'07_Depreciation'!N15</f>
        <v>699460000</v>
      </c>
      <c r="N22" s="62">
        <f>'07_Depreciation'!O15</f>
        <v>590260000</v>
      </c>
    </row>
    <row r="23" spans="2:14" ht="15" customHeight="1" thickBot="1" x14ac:dyDescent="0.35">
      <c r="B23" s="4" t="s">
        <v>332</v>
      </c>
      <c r="C23" s="2" t="s">
        <v>333</v>
      </c>
      <c r="D23" s="15" t="s">
        <v>298</v>
      </c>
      <c r="E23" s="63">
        <f t="shared" ref="E23:N23" si="4">E20+E21-E22</f>
        <v>14412132000</v>
      </c>
      <c r="F23" s="63">
        <f t="shared" si="4"/>
        <v>14732890000</v>
      </c>
      <c r="G23" s="63">
        <f t="shared" si="4"/>
        <v>14822274000</v>
      </c>
      <c r="H23" s="63">
        <f t="shared" si="4"/>
        <v>14770284000</v>
      </c>
      <c r="I23" s="63">
        <f t="shared" si="4"/>
        <v>14853720000</v>
      </c>
      <c r="J23" s="63">
        <f t="shared" si="4"/>
        <v>14895462000</v>
      </c>
      <c r="K23" s="63">
        <f t="shared" si="4"/>
        <v>14943870000</v>
      </c>
      <c r="L23" s="63">
        <f t="shared" si="4"/>
        <v>14998944000</v>
      </c>
      <c r="M23" s="63">
        <f t="shared" si="4"/>
        <v>15094484000</v>
      </c>
      <c r="N23" s="63">
        <f t="shared" si="4"/>
        <v>15299224000</v>
      </c>
    </row>
    <row r="24" spans="2:14" x14ac:dyDescent="0.3">
      <c r="B24" s="4" t="s">
        <v>334</v>
      </c>
      <c r="C24" s="2" t="s">
        <v>335</v>
      </c>
      <c r="D24" s="15" t="s">
        <v>298</v>
      </c>
      <c r="E24" s="98">
        <f t="shared" ref="E24:N24" si="5">(E20+E23)/2</f>
        <v>14321066000</v>
      </c>
      <c r="F24" s="98">
        <f t="shared" si="5"/>
        <v>14572511000</v>
      </c>
      <c r="G24" s="98">
        <f t="shared" si="5"/>
        <v>14777582000</v>
      </c>
      <c r="H24" s="98">
        <f t="shared" si="5"/>
        <v>14796279000</v>
      </c>
      <c r="I24" s="98">
        <f t="shared" si="5"/>
        <v>14812002000</v>
      </c>
      <c r="J24" s="98">
        <f t="shared" si="5"/>
        <v>14874591000</v>
      </c>
      <c r="K24" s="98">
        <f t="shared" si="5"/>
        <v>14919666000</v>
      </c>
      <c r="L24" s="98">
        <f t="shared" si="5"/>
        <v>14971407000</v>
      </c>
      <c r="M24" s="98">
        <f t="shared" si="5"/>
        <v>15046714000</v>
      </c>
      <c r="N24" s="98">
        <f t="shared" si="5"/>
        <v>15196854000</v>
      </c>
    </row>
  </sheetData>
  <mergeCells count="3">
    <mergeCell ref="B15:D15"/>
    <mergeCell ref="B2:Q2"/>
    <mergeCell ref="B3:Q3"/>
  </mergeCells>
  <hyperlinks>
    <hyperlink ref="B1" location="'03_Fixed_Assets'!A1" display="◄ Prev. Pg" xr:uid="{00000000-0004-0000-0500-000000000000}"/>
    <hyperlink ref="C1" location="'Control Panel'!A1" display="◄◄◄ Control Panel" xr:uid="{00000000-0004-0000-0500-000001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8A217"/>
  </sheetPr>
  <dimension ref="B1:O39"/>
  <sheetViews>
    <sheetView showGridLines="0" zoomScale="70" zoomScaleNormal="70" workbookViewId="0">
      <selection activeCell="J16" sqref="J16"/>
    </sheetView>
  </sheetViews>
  <sheetFormatPr defaultRowHeight="14.4" x14ac:dyDescent="0.3"/>
  <cols>
    <col min="1" max="1" width="2" customWidth="1"/>
    <col min="2" max="2" width="8.21875" customWidth="1"/>
    <col min="3" max="3" width="41.109375" customWidth="1"/>
    <col min="4" max="4" width="12.21875" customWidth="1"/>
    <col min="5" max="5" width="21.88671875" customWidth="1"/>
    <col min="6" max="15" width="15" customWidth="1"/>
  </cols>
  <sheetData>
    <row r="1" spans="2:15" ht="13.05" customHeight="1" x14ac:dyDescent="0.3">
      <c r="B1" s="70" t="s">
        <v>0</v>
      </c>
      <c r="C1" s="70" t="s">
        <v>1</v>
      </c>
    </row>
    <row r="2" spans="2:15" ht="15.45" customHeight="1" x14ac:dyDescent="0.3">
      <c r="B2" s="143" t="s">
        <v>336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1"/>
    </row>
    <row r="3" spans="2:15" ht="30" customHeight="1" x14ac:dyDescent="0.3">
      <c r="B3" s="112" t="s">
        <v>337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</row>
    <row r="4" spans="2:15" ht="24" customHeight="1" x14ac:dyDescent="0.3">
      <c r="B4" s="12" t="s">
        <v>2</v>
      </c>
      <c r="C4" s="12" t="s">
        <v>338</v>
      </c>
      <c r="D4" s="12" t="s">
        <v>3</v>
      </c>
      <c r="E4" s="12" t="s">
        <v>302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5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5" ht="13.95" customHeight="1" x14ac:dyDescent="0.3">
      <c r="B6" s="142" t="s">
        <v>339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1"/>
    </row>
    <row r="7" spans="2:15" x14ac:dyDescent="0.3">
      <c r="B7" s="4" t="s">
        <v>340</v>
      </c>
      <c r="C7" s="9" t="s">
        <v>341</v>
      </c>
      <c r="D7" s="15" t="s">
        <v>298</v>
      </c>
      <c r="E7" s="30">
        <f>SUM(F7:O7)</f>
        <v>0</v>
      </c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2:15" x14ac:dyDescent="0.3">
      <c r="B8" s="4" t="s">
        <v>342</v>
      </c>
      <c r="C8" s="9" t="s">
        <v>343</v>
      </c>
      <c r="D8" s="15" t="s">
        <v>298</v>
      </c>
      <c r="E8" s="30">
        <f>SUM(F8:O8)</f>
        <v>0</v>
      </c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2:15" x14ac:dyDescent="0.3">
      <c r="B9" s="4" t="s">
        <v>344</v>
      </c>
      <c r="C9" s="9" t="s">
        <v>345</v>
      </c>
      <c r="D9" s="15" t="s">
        <v>298</v>
      </c>
      <c r="E9" s="30">
        <f>SUM(F9:O9)</f>
        <v>0</v>
      </c>
      <c r="F9" s="96"/>
      <c r="G9" s="96"/>
      <c r="H9" s="96"/>
      <c r="I9" s="96"/>
      <c r="J9" s="96"/>
      <c r="K9" s="96"/>
      <c r="L9" s="96"/>
      <c r="M9" s="96"/>
      <c r="N9" s="96"/>
      <c r="O9" s="96"/>
    </row>
    <row r="10" spans="2:15" x14ac:dyDescent="0.3">
      <c r="B10" s="4" t="s">
        <v>346</v>
      </c>
      <c r="C10" s="9" t="s">
        <v>347</v>
      </c>
      <c r="D10" s="15" t="s">
        <v>298</v>
      </c>
      <c r="E10" s="30">
        <f>SUM(F10:O10)</f>
        <v>0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</row>
    <row r="11" spans="2:15" x14ac:dyDescent="0.3">
      <c r="B11" s="141" t="s">
        <v>348</v>
      </c>
      <c r="C11" s="110"/>
      <c r="D11" s="111"/>
      <c r="F11" s="26">
        <f t="shared" ref="F11:O11" si="0">SUM(F7:F10)</f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 t="shared" si="0"/>
        <v>0</v>
      </c>
      <c r="K11" s="26">
        <f t="shared" si="0"/>
        <v>0</v>
      </c>
      <c r="L11" s="26">
        <f t="shared" si="0"/>
        <v>0</v>
      </c>
      <c r="M11" s="26">
        <f t="shared" si="0"/>
        <v>0</v>
      </c>
      <c r="N11" s="26">
        <f t="shared" si="0"/>
        <v>0</v>
      </c>
      <c r="O11" s="26">
        <f t="shared" si="0"/>
        <v>0</v>
      </c>
    </row>
    <row r="13" spans="2:15" ht="13.95" customHeight="1" x14ac:dyDescent="0.3">
      <c r="B13" s="142" t="s">
        <v>349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2:15" x14ac:dyDescent="0.3">
      <c r="B14" s="4" t="s">
        <v>350</v>
      </c>
      <c r="C14" s="9" t="s">
        <v>351</v>
      </c>
      <c r="D14" s="15" t="s">
        <v>298</v>
      </c>
      <c r="E14" s="97">
        <f t="shared" ref="E14:E26" si="1">SUM(F14:O14)</f>
        <v>8000000000</v>
      </c>
      <c r="F14" s="96">
        <v>800000000</v>
      </c>
      <c r="G14" s="96">
        <v>800000000</v>
      </c>
      <c r="H14" s="96">
        <v>800000000</v>
      </c>
      <c r="I14" s="96">
        <v>800000000</v>
      </c>
      <c r="J14" s="96">
        <v>800000000</v>
      </c>
      <c r="K14" s="96">
        <v>800000000</v>
      </c>
      <c r="L14" s="96">
        <v>800000000</v>
      </c>
      <c r="M14" s="96">
        <v>800000000</v>
      </c>
      <c r="N14" s="96">
        <v>800000000</v>
      </c>
      <c r="O14" s="96">
        <v>800000000</v>
      </c>
    </row>
    <row r="15" spans="2:15" x14ac:dyDescent="0.3">
      <c r="B15" s="4" t="s">
        <v>352</v>
      </c>
      <c r="C15" s="9" t="s">
        <v>353</v>
      </c>
      <c r="D15" s="15" t="s">
        <v>298</v>
      </c>
      <c r="E15" s="97">
        <f t="shared" si="1"/>
        <v>1200000000</v>
      </c>
      <c r="F15" s="96">
        <v>120000000</v>
      </c>
      <c r="G15" s="96">
        <v>120000000</v>
      </c>
      <c r="H15" s="96">
        <v>120000000</v>
      </c>
      <c r="I15" s="96">
        <v>120000000</v>
      </c>
      <c r="J15" s="96">
        <v>120000000</v>
      </c>
      <c r="K15" s="96">
        <v>120000000</v>
      </c>
      <c r="L15" s="96">
        <v>120000000</v>
      </c>
      <c r="M15" s="96">
        <v>120000000</v>
      </c>
      <c r="N15" s="96">
        <v>120000000</v>
      </c>
      <c r="O15" s="96">
        <v>120000000</v>
      </c>
    </row>
    <row r="16" spans="2:15" x14ac:dyDescent="0.3">
      <c r="B16" s="4" t="s">
        <v>354</v>
      </c>
      <c r="C16" s="9" t="s">
        <v>355</v>
      </c>
      <c r="D16" s="15" t="s">
        <v>298</v>
      </c>
      <c r="E16" s="97">
        <f t="shared" si="1"/>
        <v>1800000000</v>
      </c>
      <c r="F16" s="96">
        <v>180000000</v>
      </c>
      <c r="G16" s="96">
        <v>180000000</v>
      </c>
      <c r="H16" s="96">
        <v>180000000</v>
      </c>
      <c r="I16" s="96">
        <v>180000000</v>
      </c>
      <c r="J16" s="96">
        <v>180000000</v>
      </c>
      <c r="K16" s="96">
        <v>180000000</v>
      </c>
      <c r="L16" s="96">
        <v>180000000</v>
      </c>
      <c r="M16" s="96">
        <v>180000000</v>
      </c>
      <c r="N16" s="96">
        <v>180000000</v>
      </c>
      <c r="O16" s="96">
        <v>180000000</v>
      </c>
    </row>
    <row r="17" spans="2:15" x14ac:dyDescent="0.3">
      <c r="B17" s="4" t="s">
        <v>356</v>
      </c>
      <c r="C17" s="9" t="s">
        <v>357</v>
      </c>
      <c r="D17" s="15" t="s">
        <v>298</v>
      </c>
      <c r="E17" s="97">
        <f t="shared" si="1"/>
        <v>400000000</v>
      </c>
      <c r="F17" s="96">
        <v>40000000</v>
      </c>
      <c r="G17" s="96">
        <v>40000000</v>
      </c>
      <c r="H17" s="96">
        <v>40000000</v>
      </c>
      <c r="I17" s="96">
        <v>40000000</v>
      </c>
      <c r="J17" s="96">
        <v>40000000</v>
      </c>
      <c r="K17" s="96">
        <v>40000000</v>
      </c>
      <c r="L17" s="96">
        <v>40000000</v>
      </c>
      <c r="M17" s="96">
        <v>40000000</v>
      </c>
      <c r="N17" s="96">
        <v>40000000</v>
      </c>
      <c r="O17" s="96">
        <v>40000000</v>
      </c>
    </row>
    <row r="18" spans="2:15" x14ac:dyDescent="0.3">
      <c r="B18" s="4" t="s">
        <v>358</v>
      </c>
      <c r="C18" s="9" t="s">
        <v>359</v>
      </c>
      <c r="D18" s="15" t="s">
        <v>298</v>
      </c>
      <c r="E18" s="97">
        <f t="shared" si="1"/>
        <v>1500000000</v>
      </c>
      <c r="F18" s="96">
        <v>150000000</v>
      </c>
      <c r="G18" s="96">
        <v>150000000</v>
      </c>
      <c r="H18" s="96">
        <v>150000000</v>
      </c>
      <c r="I18" s="96">
        <v>150000000</v>
      </c>
      <c r="J18" s="96">
        <v>150000000</v>
      </c>
      <c r="K18" s="96">
        <v>150000000</v>
      </c>
      <c r="L18" s="96">
        <v>150000000</v>
      </c>
      <c r="M18" s="96">
        <v>150000000</v>
      </c>
      <c r="N18" s="96">
        <v>150000000</v>
      </c>
      <c r="O18" s="96">
        <v>150000000</v>
      </c>
    </row>
    <row r="19" spans="2:15" x14ac:dyDescent="0.3">
      <c r="B19" s="4" t="s">
        <v>360</v>
      </c>
      <c r="C19" s="9" t="s">
        <v>361</v>
      </c>
      <c r="D19" s="15" t="s">
        <v>298</v>
      </c>
      <c r="E19" s="97">
        <f t="shared" si="1"/>
        <v>800000000</v>
      </c>
      <c r="F19" s="96">
        <v>80000000</v>
      </c>
      <c r="G19" s="96">
        <v>80000000</v>
      </c>
      <c r="H19" s="96">
        <v>80000000</v>
      </c>
      <c r="I19" s="96">
        <v>80000000</v>
      </c>
      <c r="J19" s="96">
        <v>80000000</v>
      </c>
      <c r="K19" s="96">
        <v>80000000</v>
      </c>
      <c r="L19" s="96">
        <v>80000000</v>
      </c>
      <c r="M19" s="96">
        <v>80000000</v>
      </c>
      <c r="N19" s="96">
        <v>80000000</v>
      </c>
      <c r="O19" s="96">
        <v>80000000</v>
      </c>
    </row>
    <row r="20" spans="2:15" x14ac:dyDescent="0.3">
      <c r="B20" s="4" t="s">
        <v>362</v>
      </c>
      <c r="C20" s="9" t="s">
        <v>363</v>
      </c>
      <c r="D20" s="15" t="s">
        <v>298</v>
      </c>
      <c r="E20" s="97">
        <f t="shared" si="1"/>
        <v>600000000</v>
      </c>
      <c r="F20" s="96">
        <v>60000000</v>
      </c>
      <c r="G20" s="96">
        <v>60000000</v>
      </c>
      <c r="H20" s="96">
        <v>60000000</v>
      </c>
      <c r="I20" s="96">
        <v>60000000</v>
      </c>
      <c r="J20" s="96">
        <v>60000000</v>
      </c>
      <c r="K20" s="96">
        <v>60000000</v>
      </c>
      <c r="L20" s="96">
        <v>60000000</v>
      </c>
      <c r="M20" s="96">
        <v>60000000</v>
      </c>
      <c r="N20" s="96">
        <v>60000000</v>
      </c>
      <c r="O20" s="96">
        <v>60000000</v>
      </c>
    </row>
    <row r="21" spans="2:15" x14ac:dyDescent="0.3">
      <c r="B21" s="4" t="s">
        <v>364</v>
      </c>
      <c r="C21" s="9" t="s">
        <v>365</v>
      </c>
      <c r="D21" s="15" t="s">
        <v>298</v>
      </c>
      <c r="E21" s="97">
        <f t="shared" si="1"/>
        <v>500000000</v>
      </c>
      <c r="F21" s="96">
        <v>50000000</v>
      </c>
      <c r="G21" s="96">
        <v>50000000</v>
      </c>
      <c r="H21" s="96">
        <v>50000000</v>
      </c>
      <c r="I21" s="96">
        <v>50000000</v>
      </c>
      <c r="J21" s="96">
        <v>50000000</v>
      </c>
      <c r="K21" s="96">
        <v>50000000</v>
      </c>
      <c r="L21" s="96">
        <v>50000000</v>
      </c>
      <c r="M21" s="96">
        <v>50000000</v>
      </c>
      <c r="N21" s="96">
        <v>50000000</v>
      </c>
      <c r="O21" s="96">
        <v>50000000</v>
      </c>
    </row>
    <row r="22" spans="2:15" x14ac:dyDescent="0.3">
      <c r="B22" s="4" t="s">
        <v>366</v>
      </c>
      <c r="C22" s="9" t="s">
        <v>367</v>
      </c>
      <c r="D22" s="15" t="s">
        <v>298</v>
      </c>
      <c r="E22" s="97">
        <f t="shared" si="1"/>
        <v>300000000</v>
      </c>
      <c r="F22" s="96">
        <v>30000000</v>
      </c>
      <c r="G22" s="96">
        <v>30000000</v>
      </c>
      <c r="H22" s="96">
        <v>30000000</v>
      </c>
      <c r="I22" s="96">
        <v>30000000</v>
      </c>
      <c r="J22" s="96">
        <v>30000000</v>
      </c>
      <c r="K22" s="96">
        <v>30000000</v>
      </c>
      <c r="L22" s="96">
        <v>30000000</v>
      </c>
      <c r="M22" s="96">
        <v>30000000</v>
      </c>
      <c r="N22" s="96">
        <v>30000000</v>
      </c>
      <c r="O22" s="96">
        <v>30000000</v>
      </c>
    </row>
    <row r="23" spans="2:15" x14ac:dyDescent="0.3">
      <c r="B23" s="4" t="s">
        <v>368</v>
      </c>
      <c r="C23" s="9" t="s">
        <v>369</v>
      </c>
      <c r="D23" s="15" t="s">
        <v>298</v>
      </c>
      <c r="E23" s="97">
        <f t="shared" si="1"/>
        <v>200000000</v>
      </c>
      <c r="F23" s="96">
        <v>20000000</v>
      </c>
      <c r="G23" s="96">
        <v>20000000</v>
      </c>
      <c r="H23" s="96">
        <v>20000000</v>
      </c>
      <c r="I23" s="96">
        <v>20000000</v>
      </c>
      <c r="J23" s="96">
        <v>20000000</v>
      </c>
      <c r="K23" s="96">
        <v>20000000</v>
      </c>
      <c r="L23" s="96">
        <v>20000000</v>
      </c>
      <c r="M23" s="96">
        <v>20000000</v>
      </c>
      <c r="N23" s="96">
        <v>20000000</v>
      </c>
      <c r="O23" s="96">
        <v>20000000</v>
      </c>
    </row>
    <row r="24" spans="2:15" x14ac:dyDescent="0.3">
      <c r="B24" s="4" t="s">
        <v>370</v>
      </c>
      <c r="C24" s="9" t="s">
        <v>371</v>
      </c>
      <c r="D24" s="15" t="s">
        <v>298</v>
      </c>
      <c r="E24" s="97">
        <f t="shared" si="1"/>
        <v>150000000</v>
      </c>
      <c r="F24" s="96">
        <v>15000000</v>
      </c>
      <c r="G24" s="96">
        <v>15000000</v>
      </c>
      <c r="H24" s="96">
        <v>15000000</v>
      </c>
      <c r="I24" s="96">
        <v>15000000</v>
      </c>
      <c r="J24" s="96">
        <v>15000000</v>
      </c>
      <c r="K24" s="96">
        <v>15000000</v>
      </c>
      <c r="L24" s="96">
        <v>15000000</v>
      </c>
      <c r="M24" s="96">
        <v>15000000</v>
      </c>
      <c r="N24" s="96">
        <v>15000000</v>
      </c>
      <c r="O24" s="96">
        <v>15000000</v>
      </c>
    </row>
    <row r="25" spans="2:15" x14ac:dyDescent="0.3">
      <c r="B25" s="4" t="s">
        <v>372</v>
      </c>
      <c r="C25" s="9" t="s">
        <v>373</v>
      </c>
      <c r="D25" s="15" t="s">
        <v>298</v>
      </c>
      <c r="E25" s="97">
        <f t="shared" si="1"/>
        <v>250000000</v>
      </c>
      <c r="F25" s="96">
        <v>25000000</v>
      </c>
      <c r="G25" s="96">
        <v>25000000</v>
      </c>
      <c r="H25" s="96">
        <v>25000000</v>
      </c>
      <c r="I25" s="96">
        <v>25000000</v>
      </c>
      <c r="J25" s="96">
        <v>25000000</v>
      </c>
      <c r="K25" s="96">
        <v>25000000</v>
      </c>
      <c r="L25" s="96">
        <v>25000000</v>
      </c>
      <c r="M25" s="96">
        <v>25000000</v>
      </c>
      <c r="N25" s="96">
        <v>25000000</v>
      </c>
      <c r="O25" s="96">
        <v>25000000</v>
      </c>
    </row>
    <row r="26" spans="2:15" x14ac:dyDescent="0.3">
      <c r="B26" s="4" t="s">
        <v>374</v>
      </c>
      <c r="C26" s="9" t="s">
        <v>375</v>
      </c>
      <c r="D26" s="15" t="s">
        <v>298</v>
      </c>
      <c r="E26" s="97">
        <f t="shared" si="1"/>
        <v>300000000</v>
      </c>
      <c r="F26" s="96">
        <v>30000000</v>
      </c>
      <c r="G26" s="96">
        <v>30000000</v>
      </c>
      <c r="H26" s="96">
        <v>30000000</v>
      </c>
      <c r="I26" s="96">
        <v>30000000</v>
      </c>
      <c r="J26" s="96">
        <v>30000000</v>
      </c>
      <c r="K26" s="96">
        <v>30000000</v>
      </c>
      <c r="L26" s="96">
        <v>30000000</v>
      </c>
      <c r="M26" s="96">
        <v>30000000</v>
      </c>
      <c r="N26" s="96">
        <v>30000000</v>
      </c>
      <c r="O26" s="96">
        <v>30000000</v>
      </c>
    </row>
    <row r="27" spans="2:15" x14ac:dyDescent="0.3">
      <c r="B27" s="141" t="s">
        <v>376</v>
      </c>
      <c r="C27" s="110"/>
      <c r="D27" s="111"/>
      <c r="F27" s="26">
        <f t="shared" ref="F27:O27" si="2">SUM(F14:F26)</f>
        <v>1600000000</v>
      </c>
      <c r="G27" s="26">
        <f t="shared" si="2"/>
        <v>1600000000</v>
      </c>
      <c r="H27" s="26">
        <f t="shared" si="2"/>
        <v>1600000000</v>
      </c>
      <c r="I27" s="26">
        <f t="shared" si="2"/>
        <v>1600000000</v>
      </c>
      <c r="J27" s="26">
        <f t="shared" si="2"/>
        <v>1600000000</v>
      </c>
      <c r="K27" s="26">
        <f t="shared" si="2"/>
        <v>1600000000</v>
      </c>
      <c r="L27" s="26">
        <f t="shared" si="2"/>
        <v>1600000000</v>
      </c>
      <c r="M27" s="26">
        <f t="shared" si="2"/>
        <v>1600000000</v>
      </c>
      <c r="N27" s="26">
        <f t="shared" si="2"/>
        <v>1600000000</v>
      </c>
      <c r="O27" s="26">
        <f t="shared" si="2"/>
        <v>1600000000</v>
      </c>
    </row>
    <row r="29" spans="2:15" ht="13.95" customHeight="1" x14ac:dyDescent="0.3">
      <c r="B29" s="142" t="s">
        <v>377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1"/>
    </row>
    <row r="30" spans="2:15" x14ac:dyDescent="0.3">
      <c r="B30" s="4" t="s">
        <v>378</v>
      </c>
      <c r="C30" s="9" t="s">
        <v>379</v>
      </c>
      <c r="D30" s="15" t="s">
        <v>298</v>
      </c>
      <c r="E30" s="97">
        <f t="shared" ref="E30:E36" si="3">SUM(F30:O30)</f>
        <v>3500000000</v>
      </c>
      <c r="F30" s="96">
        <v>350000000</v>
      </c>
      <c r="G30" s="96">
        <v>350000000</v>
      </c>
      <c r="H30" s="96">
        <v>350000000</v>
      </c>
      <c r="I30" s="96">
        <v>350000000</v>
      </c>
      <c r="J30" s="96">
        <v>350000000</v>
      </c>
      <c r="K30" s="96">
        <v>350000000</v>
      </c>
      <c r="L30" s="96">
        <v>350000000</v>
      </c>
      <c r="M30" s="96">
        <v>350000000</v>
      </c>
      <c r="N30" s="96">
        <v>350000000</v>
      </c>
      <c r="O30" s="96">
        <v>350000000</v>
      </c>
    </row>
    <row r="31" spans="2:15" x14ac:dyDescent="0.3">
      <c r="B31" s="4" t="s">
        <v>380</v>
      </c>
      <c r="C31" s="9" t="s">
        <v>381</v>
      </c>
      <c r="D31" s="15" t="s">
        <v>298</v>
      </c>
      <c r="E31" s="97">
        <f t="shared" si="3"/>
        <v>800000000</v>
      </c>
      <c r="F31" s="96">
        <v>80000000</v>
      </c>
      <c r="G31" s="96">
        <v>80000000</v>
      </c>
      <c r="H31" s="96">
        <v>80000000</v>
      </c>
      <c r="I31" s="96">
        <v>80000000</v>
      </c>
      <c r="J31" s="96">
        <v>80000000</v>
      </c>
      <c r="K31" s="96">
        <v>80000000</v>
      </c>
      <c r="L31" s="96">
        <v>80000000</v>
      </c>
      <c r="M31" s="96">
        <v>80000000</v>
      </c>
      <c r="N31" s="96">
        <v>80000000</v>
      </c>
      <c r="O31" s="96">
        <v>80000000</v>
      </c>
    </row>
    <row r="32" spans="2:15" x14ac:dyDescent="0.3">
      <c r="B32" s="4" t="s">
        <v>382</v>
      </c>
      <c r="C32" s="9" t="s">
        <v>383</v>
      </c>
      <c r="D32" s="15" t="s">
        <v>298</v>
      </c>
      <c r="E32" s="97">
        <f t="shared" si="3"/>
        <v>1000000000</v>
      </c>
      <c r="F32" s="96">
        <v>100000000</v>
      </c>
      <c r="G32" s="96">
        <v>100000000</v>
      </c>
      <c r="H32" s="96">
        <v>100000000</v>
      </c>
      <c r="I32" s="96">
        <v>100000000</v>
      </c>
      <c r="J32" s="96">
        <v>100000000</v>
      </c>
      <c r="K32" s="96">
        <v>100000000</v>
      </c>
      <c r="L32" s="96">
        <v>100000000</v>
      </c>
      <c r="M32" s="96">
        <v>100000000</v>
      </c>
      <c r="N32" s="96">
        <v>100000000</v>
      </c>
      <c r="O32" s="96">
        <v>100000000</v>
      </c>
    </row>
    <row r="33" spans="2:15" x14ac:dyDescent="0.3">
      <c r="B33" s="4" t="s">
        <v>384</v>
      </c>
      <c r="C33" s="9" t="s">
        <v>385</v>
      </c>
      <c r="D33" s="15" t="s">
        <v>298</v>
      </c>
      <c r="E33" s="97">
        <f t="shared" si="3"/>
        <v>400000000</v>
      </c>
      <c r="F33" s="96">
        <v>40000000</v>
      </c>
      <c r="G33" s="96">
        <v>40000000</v>
      </c>
      <c r="H33" s="96">
        <v>40000000</v>
      </c>
      <c r="I33" s="96">
        <v>40000000</v>
      </c>
      <c r="J33" s="96">
        <v>40000000</v>
      </c>
      <c r="K33" s="96">
        <v>40000000</v>
      </c>
      <c r="L33" s="96">
        <v>40000000</v>
      </c>
      <c r="M33" s="96">
        <v>40000000</v>
      </c>
      <c r="N33" s="96">
        <v>40000000</v>
      </c>
      <c r="O33" s="96">
        <v>40000000</v>
      </c>
    </row>
    <row r="34" spans="2:15" x14ac:dyDescent="0.3">
      <c r="B34" s="4" t="s">
        <v>386</v>
      </c>
      <c r="C34" s="9" t="s">
        <v>387</v>
      </c>
      <c r="D34" s="15" t="s">
        <v>298</v>
      </c>
      <c r="E34" s="97">
        <f t="shared" si="3"/>
        <v>300000000</v>
      </c>
      <c r="F34" s="96">
        <v>30000000</v>
      </c>
      <c r="G34" s="96">
        <v>30000000</v>
      </c>
      <c r="H34" s="96">
        <v>30000000</v>
      </c>
      <c r="I34" s="96">
        <v>30000000</v>
      </c>
      <c r="J34" s="96">
        <v>30000000</v>
      </c>
      <c r="K34" s="96">
        <v>30000000</v>
      </c>
      <c r="L34" s="96">
        <v>30000000</v>
      </c>
      <c r="M34" s="96">
        <v>30000000</v>
      </c>
      <c r="N34" s="96">
        <v>30000000</v>
      </c>
      <c r="O34" s="96">
        <v>30000000</v>
      </c>
    </row>
    <row r="35" spans="2:15" x14ac:dyDescent="0.3">
      <c r="B35" s="4" t="s">
        <v>388</v>
      </c>
      <c r="C35" s="9" t="s">
        <v>389</v>
      </c>
      <c r="D35" s="15" t="s">
        <v>298</v>
      </c>
      <c r="E35" s="97">
        <f t="shared" si="3"/>
        <v>500000000</v>
      </c>
      <c r="F35" s="96">
        <v>50000000</v>
      </c>
      <c r="G35" s="96">
        <v>50000000</v>
      </c>
      <c r="H35" s="96">
        <v>50000000</v>
      </c>
      <c r="I35" s="96">
        <v>50000000</v>
      </c>
      <c r="J35" s="96">
        <v>50000000</v>
      </c>
      <c r="K35" s="96">
        <v>50000000</v>
      </c>
      <c r="L35" s="96">
        <v>50000000</v>
      </c>
      <c r="M35" s="96">
        <v>50000000</v>
      </c>
      <c r="N35" s="96">
        <v>50000000</v>
      </c>
      <c r="O35" s="96">
        <v>50000000</v>
      </c>
    </row>
    <row r="36" spans="2:15" x14ac:dyDescent="0.3">
      <c r="B36" s="4" t="s">
        <v>390</v>
      </c>
      <c r="C36" s="9" t="s">
        <v>391</v>
      </c>
      <c r="D36" s="15" t="s">
        <v>298</v>
      </c>
      <c r="E36" s="97">
        <f t="shared" si="3"/>
        <v>200000000</v>
      </c>
      <c r="F36" s="96">
        <v>20000000</v>
      </c>
      <c r="G36" s="96">
        <v>20000000</v>
      </c>
      <c r="H36" s="96">
        <v>20000000</v>
      </c>
      <c r="I36" s="96">
        <v>20000000</v>
      </c>
      <c r="J36" s="96">
        <v>20000000</v>
      </c>
      <c r="K36" s="96">
        <v>20000000</v>
      </c>
      <c r="L36" s="96">
        <v>20000000</v>
      </c>
      <c r="M36" s="96">
        <v>20000000</v>
      </c>
      <c r="N36" s="96">
        <v>20000000</v>
      </c>
      <c r="O36" s="96">
        <v>20000000</v>
      </c>
    </row>
    <row r="37" spans="2:15" x14ac:dyDescent="0.3">
      <c r="B37" s="141" t="s">
        <v>392</v>
      </c>
      <c r="C37" s="110"/>
      <c r="D37" s="111"/>
      <c r="F37" s="26">
        <f t="shared" ref="F37:O37" si="4">SUM(F30:F36)</f>
        <v>670000000</v>
      </c>
      <c r="G37" s="26">
        <f t="shared" si="4"/>
        <v>670000000</v>
      </c>
      <c r="H37" s="26">
        <f t="shared" si="4"/>
        <v>670000000</v>
      </c>
      <c r="I37" s="26">
        <f t="shared" si="4"/>
        <v>670000000</v>
      </c>
      <c r="J37" s="26">
        <f t="shared" si="4"/>
        <v>670000000</v>
      </c>
      <c r="K37" s="26">
        <f t="shared" si="4"/>
        <v>670000000</v>
      </c>
      <c r="L37" s="26">
        <f t="shared" si="4"/>
        <v>670000000</v>
      </c>
      <c r="M37" s="26">
        <f t="shared" si="4"/>
        <v>670000000</v>
      </c>
      <c r="N37" s="26">
        <f t="shared" si="4"/>
        <v>670000000</v>
      </c>
      <c r="O37" s="26">
        <f t="shared" si="4"/>
        <v>670000000</v>
      </c>
    </row>
    <row r="39" spans="2:15" ht="15.45" customHeight="1" x14ac:dyDescent="0.3">
      <c r="B39" s="147" t="s">
        <v>393</v>
      </c>
      <c r="C39" s="114"/>
      <c r="D39" s="114"/>
      <c r="E39" s="148"/>
      <c r="F39" s="32">
        <f t="shared" ref="F39:O39" si="5">F11+F27+F37</f>
        <v>2270000000</v>
      </c>
      <c r="G39" s="32">
        <f t="shared" si="5"/>
        <v>2270000000</v>
      </c>
      <c r="H39" s="32">
        <f t="shared" si="5"/>
        <v>2270000000</v>
      </c>
      <c r="I39" s="32">
        <f t="shared" si="5"/>
        <v>2270000000</v>
      </c>
      <c r="J39" s="32">
        <f t="shared" si="5"/>
        <v>2270000000</v>
      </c>
      <c r="K39" s="32">
        <f t="shared" si="5"/>
        <v>2270000000</v>
      </c>
      <c r="L39" s="32">
        <f t="shared" si="5"/>
        <v>2270000000</v>
      </c>
      <c r="M39" s="32">
        <f t="shared" si="5"/>
        <v>2270000000</v>
      </c>
      <c r="N39" s="32">
        <f t="shared" si="5"/>
        <v>2270000000</v>
      </c>
      <c r="O39" s="32">
        <f t="shared" si="5"/>
        <v>2270000000</v>
      </c>
    </row>
  </sheetData>
  <mergeCells count="9">
    <mergeCell ref="B2:O2"/>
    <mergeCell ref="B29:O29"/>
    <mergeCell ref="B27:D27"/>
    <mergeCell ref="B39:E39"/>
    <mergeCell ref="B3:O3"/>
    <mergeCell ref="B11:D11"/>
    <mergeCell ref="B13:O13"/>
    <mergeCell ref="B37:D37"/>
    <mergeCell ref="B6:O6"/>
  </mergeCells>
  <hyperlinks>
    <hyperlink ref="B1" location="'04_CapEx_Programme'!A1" display="◄ Prev. Pg" xr:uid="{00000000-0004-0000-0600-000000000000}"/>
    <hyperlink ref="C1" location="'Control Panel'!A1" display="◄◄◄ Control Panel" xr:uid="{00000000-0004-0000-0600-000001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6400"/>
  </sheetPr>
  <dimension ref="B1:O12"/>
  <sheetViews>
    <sheetView showGridLines="0" workbookViewId="0">
      <selection activeCell="B1" sqref="B1"/>
    </sheetView>
  </sheetViews>
  <sheetFormatPr defaultRowHeight="14.4" x14ac:dyDescent="0.3"/>
  <cols>
    <col min="1" max="1" width="2" customWidth="1"/>
    <col min="2" max="2" width="7.77734375" customWidth="1"/>
    <col min="3" max="3" width="40" customWidth="1"/>
    <col min="4" max="4" width="3.77734375" bestFit="1" customWidth="1"/>
    <col min="5" max="5" width="16.77734375" bestFit="1" customWidth="1"/>
    <col min="6" max="15" width="15" customWidth="1"/>
  </cols>
  <sheetData>
    <row r="1" spans="2:15" ht="13.05" customHeight="1" x14ac:dyDescent="0.3">
      <c r="B1" s="70" t="s">
        <v>0</v>
      </c>
      <c r="C1" s="70" t="s">
        <v>1</v>
      </c>
    </row>
    <row r="2" spans="2:15" ht="15.45" customHeight="1" x14ac:dyDescent="0.3">
      <c r="B2" s="143" t="s">
        <v>661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1"/>
    </row>
    <row r="3" spans="2:15" ht="24" customHeight="1" x14ac:dyDescent="0.3">
      <c r="B3" s="112" t="s">
        <v>410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</row>
    <row r="4" spans="2:15" ht="24" customHeight="1" x14ac:dyDescent="0.3">
      <c r="B4" s="12" t="s">
        <v>2</v>
      </c>
      <c r="C4" s="12" t="s">
        <v>411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5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5" x14ac:dyDescent="0.3">
      <c r="B6" s="4" t="s">
        <v>412</v>
      </c>
      <c r="C6" s="2" t="s">
        <v>327</v>
      </c>
      <c r="D6" s="15" t="s">
        <v>298</v>
      </c>
      <c r="E6" s="15" t="s">
        <v>413</v>
      </c>
      <c r="F6" s="21">
        <f>'03_Fixed Assets'!I77</f>
        <v>14230000000</v>
      </c>
      <c r="G6" s="21">
        <f t="shared" ref="G6:O6" si="0">F9</f>
        <v>14412132000</v>
      </c>
      <c r="H6" s="21">
        <f t="shared" si="0"/>
        <v>14732890000</v>
      </c>
      <c r="I6" s="21">
        <f t="shared" si="0"/>
        <v>14822274000</v>
      </c>
      <c r="J6" s="21">
        <f t="shared" si="0"/>
        <v>14770284000</v>
      </c>
      <c r="K6" s="21">
        <f t="shared" si="0"/>
        <v>14853720000</v>
      </c>
      <c r="L6" s="21">
        <f t="shared" si="0"/>
        <v>14895462000</v>
      </c>
      <c r="M6" s="21">
        <f t="shared" si="0"/>
        <v>14943870000</v>
      </c>
      <c r="N6" s="21">
        <f t="shared" si="0"/>
        <v>14998944000</v>
      </c>
      <c r="O6" s="21">
        <f t="shared" si="0"/>
        <v>15094484000</v>
      </c>
    </row>
    <row r="7" spans="2:15" x14ac:dyDescent="0.3">
      <c r="B7" s="4" t="s">
        <v>414</v>
      </c>
      <c r="C7" s="2" t="s">
        <v>415</v>
      </c>
      <c r="D7" s="15" t="s">
        <v>298</v>
      </c>
      <c r="E7" s="15" t="s">
        <v>413</v>
      </c>
      <c r="F7" s="21">
        <f>'04_CapEx Programme'!H15</f>
        <v>1200000000</v>
      </c>
      <c r="G7" s="21">
        <f>'04_CapEx Programme'!I15</f>
        <v>1330000000</v>
      </c>
      <c r="H7" s="21">
        <f>'04_CapEx Programme'!J15</f>
        <v>1090000000</v>
      </c>
      <c r="I7" s="21">
        <f>'04_CapEx Programme'!K15</f>
        <v>940000000</v>
      </c>
      <c r="J7" s="21">
        <f>'04_CapEx Programme'!L15</f>
        <v>910000000</v>
      </c>
      <c r="K7" s="21">
        <f>'04_CapEx Programme'!M15</f>
        <v>795000000</v>
      </c>
      <c r="L7" s="21">
        <f>'04_CapEx Programme'!N15</f>
        <v>795000000</v>
      </c>
      <c r="M7" s="21">
        <f>'04_CapEx Programme'!O15</f>
        <v>795000000</v>
      </c>
      <c r="N7" s="21">
        <f>'04_CapEx Programme'!P15</f>
        <v>795000000</v>
      </c>
      <c r="O7" s="21">
        <f>'04_CapEx Programme'!Q15</f>
        <v>795000000</v>
      </c>
    </row>
    <row r="8" spans="2:15" x14ac:dyDescent="0.3">
      <c r="B8" s="4" t="s">
        <v>416</v>
      </c>
      <c r="C8" s="2" t="s">
        <v>417</v>
      </c>
      <c r="D8" s="15" t="s">
        <v>298</v>
      </c>
      <c r="E8" s="15" t="s">
        <v>652</v>
      </c>
      <c r="F8" s="62">
        <f>'07_Depreciation'!F15</f>
        <v>1017868000</v>
      </c>
      <c r="G8" s="62">
        <f>'07_Depreciation'!G15</f>
        <v>1009242000</v>
      </c>
      <c r="H8" s="62">
        <f>'07_Depreciation'!H15</f>
        <v>1000616000</v>
      </c>
      <c r="I8" s="62">
        <f>'07_Depreciation'!I15</f>
        <v>991990000</v>
      </c>
      <c r="J8" s="62">
        <f>'07_Depreciation'!J15</f>
        <v>826564000.00000012</v>
      </c>
      <c r="K8" s="62">
        <f>'07_Depreciation'!K15</f>
        <v>753258000</v>
      </c>
      <c r="L8" s="62">
        <f>'07_Depreciation'!L15</f>
        <v>746592000</v>
      </c>
      <c r="M8" s="62">
        <f>'07_Depreciation'!M15</f>
        <v>739926000</v>
      </c>
      <c r="N8" s="62">
        <f>'07_Depreciation'!N15</f>
        <v>699460000</v>
      </c>
      <c r="O8" s="62">
        <f>'07_Depreciation'!O15</f>
        <v>590260000</v>
      </c>
    </row>
    <row r="9" spans="2:15" x14ac:dyDescent="0.3">
      <c r="B9" s="4" t="s">
        <v>418</v>
      </c>
      <c r="C9" s="2" t="s">
        <v>333</v>
      </c>
      <c r="D9" s="15" t="s">
        <v>298</v>
      </c>
      <c r="E9" s="15" t="s">
        <v>419</v>
      </c>
      <c r="F9" s="63">
        <f t="shared" ref="F9:O9" si="1">F6+F7-F8</f>
        <v>14412132000</v>
      </c>
      <c r="G9" s="63">
        <f t="shared" si="1"/>
        <v>14732890000</v>
      </c>
      <c r="H9" s="63">
        <f t="shared" si="1"/>
        <v>14822274000</v>
      </c>
      <c r="I9" s="63">
        <f t="shared" si="1"/>
        <v>14770284000</v>
      </c>
      <c r="J9" s="63">
        <f t="shared" si="1"/>
        <v>14853720000</v>
      </c>
      <c r="K9" s="63">
        <f t="shared" si="1"/>
        <v>14895462000</v>
      </c>
      <c r="L9" s="63">
        <f t="shared" si="1"/>
        <v>14943870000</v>
      </c>
      <c r="M9" s="63">
        <f t="shared" si="1"/>
        <v>14998944000</v>
      </c>
      <c r="N9" s="63">
        <f t="shared" si="1"/>
        <v>15094484000</v>
      </c>
      <c r="O9" s="63">
        <f t="shared" si="1"/>
        <v>15299224000</v>
      </c>
    </row>
    <row r="10" spans="2:15" x14ac:dyDescent="0.3">
      <c r="B10" s="4" t="s">
        <v>420</v>
      </c>
      <c r="C10" s="2" t="s">
        <v>421</v>
      </c>
      <c r="D10" s="15" t="s">
        <v>298</v>
      </c>
      <c r="E10" s="15" t="s">
        <v>419</v>
      </c>
      <c r="F10" s="101">
        <f t="shared" ref="F10:O10" si="2">(F6+F9)/2</f>
        <v>14321066000</v>
      </c>
      <c r="G10" s="101">
        <f t="shared" si="2"/>
        <v>14572511000</v>
      </c>
      <c r="H10" s="101">
        <f t="shared" si="2"/>
        <v>14777582000</v>
      </c>
      <c r="I10" s="101">
        <f t="shared" si="2"/>
        <v>14796279000</v>
      </c>
      <c r="J10" s="101">
        <f t="shared" si="2"/>
        <v>14812002000</v>
      </c>
      <c r="K10" s="101">
        <f t="shared" si="2"/>
        <v>14874591000</v>
      </c>
      <c r="L10" s="101">
        <f t="shared" si="2"/>
        <v>14919666000</v>
      </c>
      <c r="M10" s="101">
        <f t="shared" si="2"/>
        <v>14971407000</v>
      </c>
      <c r="N10" s="101">
        <f t="shared" si="2"/>
        <v>15046714000</v>
      </c>
      <c r="O10" s="101">
        <f t="shared" si="2"/>
        <v>15196854000</v>
      </c>
    </row>
    <row r="11" spans="2:15" x14ac:dyDescent="0.3">
      <c r="B11" s="4" t="s">
        <v>422</v>
      </c>
      <c r="C11" s="2" t="s">
        <v>423</v>
      </c>
      <c r="D11" s="15" t="s">
        <v>131</v>
      </c>
      <c r="E11" s="15" t="s">
        <v>424</v>
      </c>
      <c r="F11" s="19">
        <f>'01_Macro Parameters'!H17</f>
        <v>0.2288</v>
      </c>
      <c r="G11" s="19">
        <f>'01_Macro Parameters'!I17</f>
        <v>0.2288</v>
      </c>
      <c r="H11" s="19">
        <f>'01_Macro Parameters'!J17</f>
        <v>0.2288</v>
      </c>
      <c r="I11" s="19">
        <f>'01_Macro Parameters'!K17</f>
        <v>0.2288</v>
      </c>
      <c r="J11" s="19">
        <f>'01_Macro Parameters'!L17</f>
        <v>0.2288</v>
      </c>
      <c r="K11" s="19">
        <f>'01_Macro Parameters'!M17</f>
        <v>0.2288</v>
      </c>
      <c r="L11" s="19">
        <f>'01_Macro Parameters'!N17</f>
        <v>0.2288</v>
      </c>
      <c r="M11" s="19">
        <f>'01_Macro Parameters'!O17</f>
        <v>0.2288</v>
      </c>
      <c r="N11" s="19">
        <f>'01_Macro Parameters'!P17</f>
        <v>0.2288</v>
      </c>
      <c r="O11" s="19">
        <f>'01_Macro Parameters'!Q17</f>
        <v>0.2288</v>
      </c>
    </row>
    <row r="12" spans="2:15" x14ac:dyDescent="0.3">
      <c r="B12" s="4" t="s">
        <v>425</v>
      </c>
      <c r="C12" s="2" t="s">
        <v>426</v>
      </c>
      <c r="D12" s="15" t="s">
        <v>298</v>
      </c>
      <c r="E12" s="15" t="s">
        <v>419</v>
      </c>
      <c r="F12" s="34">
        <f t="shared" ref="F12:O12" si="3">F10*F11</f>
        <v>3276659900.8000002</v>
      </c>
      <c r="G12" s="34">
        <f t="shared" si="3"/>
        <v>3334190516.8000002</v>
      </c>
      <c r="H12" s="34">
        <f t="shared" si="3"/>
        <v>3381110761.5999999</v>
      </c>
      <c r="I12" s="34">
        <f t="shared" si="3"/>
        <v>3385388635.2000003</v>
      </c>
      <c r="J12" s="34">
        <f t="shared" si="3"/>
        <v>3388986057.5999999</v>
      </c>
      <c r="K12" s="34">
        <f t="shared" si="3"/>
        <v>3403306420.8000002</v>
      </c>
      <c r="L12" s="34">
        <f t="shared" si="3"/>
        <v>3413619580.8000002</v>
      </c>
      <c r="M12" s="34">
        <f t="shared" si="3"/>
        <v>3425457921.5999999</v>
      </c>
      <c r="N12" s="34">
        <f t="shared" si="3"/>
        <v>3442688163.2000003</v>
      </c>
      <c r="O12" s="34">
        <f t="shared" si="3"/>
        <v>3477040195.2000003</v>
      </c>
    </row>
  </sheetData>
  <mergeCells count="2">
    <mergeCell ref="B3:O3"/>
    <mergeCell ref="B2:O2"/>
  </mergeCells>
  <hyperlinks>
    <hyperlink ref="B1" location="'07_PassThrough'!A1" display="◄ Prev. Pg" xr:uid="{00000000-0004-0000-0800-000000000000}"/>
    <hyperlink ref="C1" location="'Control Panel'!A1" display="◄◄◄ Control Panel" xr:uid="{00000000-0004-0000-0800-000001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Introduction</vt:lpstr>
      <vt:lpstr>Control Panel</vt:lpstr>
      <vt:lpstr>User Guide</vt:lpstr>
      <vt:lpstr>01_Macro Parameters</vt:lpstr>
      <vt:lpstr>02_PassThrough</vt:lpstr>
      <vt:lpstr>03_Fixed Assets</vt:lpstr>
      <vt:lpstr>04_CapEx Programme</vt:lpstr>
      <vt:lpstr>05_OpEx OM</vt:lpstr>
      <vt:lpstr>06_RAB Roll</vt:lpstr>
      <vt:lpstr>07_Depreciation</vt:lpstr>
      <vt:lpstr>08_Revenue Requirement</vt:lpstr>
      <vt:lpstr>09_End User Average Tariff</vt:lpstr>
      <vt:lpstr>17_MiniGrid_EmbedGen</vt:lpstr>
      <vt:lpstr>18_Investor_Returns</vt:lpstr>
      <vt:lpstr>19_Affordability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Emmanuella Samuel</dc:creator>
  <cp:lastModifiedBy>Josiah Bello</cp:lastModifiedBy>
  <dcterms:created xsi:type="dcterms:W3CDTF">2026-03-03T13:43:09Z</dcterms:created>
  <dcterms:modified xsi:type="dcterms:W3CDTF">2026-06-14T20:13:53Z</dcterms:modified>
</cp:coreProperties>
</file>