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OFTTOUCH COMPUTERS\Desktop\Ella\NSERC\Tariff model\"/>
    </mc:Choice>
  </mc:AlternateContent>
  <xr:revisionPtr revIDLastSave="0" documentId="13_ncr:1_{3DF0C970-3E19-4737-9AC5-C8CA4601B50A}" xr6:coauthVersionLast="47" xr6:coauthVersionMax="47" xr10:uidLastSave="{00000000-0000-0000-0000-000000000000}"/>
  <bookViews>
    <workbookView xWindow="-108" yWindow="-108" windowWidth="23256" windowHeight="12456" tabRatio="805" xr2:uid="{00000000-000D-0000-FFFF-FFFF00000000}"/>
  </bookViews>
  <sheets>
    <sheet name="COVER" sheetId="1" r:id="rId1"/>
    <sheet name="DEVELOPER INPUTS" sheetId="2" r:id="rId2"/>
    <sheet name="COMMISSION PARAMETERS" sheetId="3" r:id="rId3"/>
    <sheet name="CALCULATIONS" sheetId="4" r:id="rId4"/>
    <sheet name="TARIFF DETERMINATION" sheetId="5" r:id="rId5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5" l="1"/>
  <c r="G73" i="4"/>
  <c r="F69" i="4"/>
  <c r="Z33" i="4"/>
  <c r="Y33" i="4"/>
  <c r="X33" i="4"/>
  <c r="W33" i="4"/>
  <c r="V33" i="4"/>
  <c r="U33" i="4"/>
  <c r="S33" i="4"/>
  <c r="R33" i="4"/>
  <c r="Q33" i="4"/>
  <c r="P33" i="4"/>
  <c r="O33" i="4"/>
  <c r="N33" i="4"/>
  <c r="L33" i="4"/>
  <c r="K33" i="4"/>
  <c r="J33" i="4"/>
  <c r="I33" i="4"/>
  <c r="H33" i="4"/>
  <c r="G33" i="4"/>
  <c r="Z28" i="4"/>
  <c r="Y28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G25" i="4"/>
  <c r="H25" i="4" s="1"/>
  <c r="I25" i="4" s="1"/>
  <c r="J25" i="4" s="1"/>
  <c r="K25" i="4" s="1"/>
  <c r="L25" i="4" s="1"/>
  <c r="M25" i="4" s="1"/>
  <c r="N25" i="4" s="1"/>
  <c r="O25" i="4" s="1"/>
  <c r="P25" i="4" s="1"/>
  <c r="Q25" i="4" s="1"/>
  <c r="R25" i="4" s="1"/>
  <c r="S25" i="4" s="1"/>
  <c r="T25" i="4" s="1"/>
  <c r="U25" i="4" s="1"/>
  <c r="V25" i="4" s="1"/>
  <c r="W25" i="4" s="1"/>
  <c r="X25" i="4" s="1"/>
  <c r="Y25" i="4" s="1"/>
  <c r="Z25" i="4" s="1"/>
  <c r="Z23" i="4"/>
  <c r="Z27" i="4" s="1"/>
  <c r="Z42" i="4" s="1"/>
  <c r="Y23" i="4"/>
  <c r="Y27" i="4" s="1"/>
  <c r="Y42" i="4" s="1"/>
  <c r="X23" i="4"/>
  <c r="X27" i="4" s="1"/>
  <c r="X42" i="4" s="1"/>
  <c r="W23" i="4"/>
  <c r="W27" i="4" s="1"/>
  <c r="W42" i="4" s="1"/>
  <c r="V23" i="4"/>
  <c r="V27" i="4" s="1"/>
  <c r="V42" i="4" s="1"/>
  <c r="U23" i="4"/>
  <c r="U27" i="4" s="1"/>
  <c r="U42" i="4" s="1"/>
  <c r="T23" i="4"/>
  <c r="T27" i="4" s="1"/>
  <c r="T42" i="4" s="1"/>
  <c r="S23" i="4"/>
  <c r="S27" i="4" s="1"/>
  <c r="S42" i="4" s="1"/>
  <c r="R23" i="4"/>
  <c r="R27" i="4" s="1"/>
  <c r="R42" i="4" s="1"/>
  <c r="Q23" i="4"/>
  <c r="Q27" i="4" s="1"/>
  <c r="Q42" i="4" s="1"/>
  <c r="P23" i="4"/>
  <c r="P27" i="4" s="1"/>
  <c r="P42" i="4" s="1"/>
  <c r="O23" i="4"/>
  <c r="O27" i="4" s="1"/>
  <c r="O42" i="4" s="1"/>
  <c r="N23" i="4"/>
  <c r="N27" i="4" s="1"/>
  <c r="N42" i="4" s="1"/>
  <c r="M23" i="4"/>
  <c r="M27" i="4" s="1"/>
  <c r="M42" i="4" s="1"/>
  <c r="L23" i="4"/>
  <c r="L27" i="4" s="1"/>
  <c r="L42" i="4" s="1"/>
  <c r="K23" i="4"/>
  <c r="K27" i="4" s="1"/>
  <c r="K42" i="4" s="1"/>
  <c r="J23" i="4"/>
  <c r="J27" i="4" s="1"/>
  <c r="J42" i="4" s="1"/>
  <c r="I23" i="4"/>
  <c r="I27" i="4" s="1"/>
  <c r="I42" i="4" s="1"/>
  <c r="H23" i="4"/>
  <c r="H27" i="4" s="1"/>
  <c r="H42" i="4" s="1"/>
  <c r="G23" i="4"/>
  <c r="G27" i="4" s="1"/>
  <c r="G42" i="4" s="1"/>
  <c r="Z22" i="4"/>
  <c r="Z24" i="4" s="1"/>
  <c r="Y22" i="4"/>
  <c r="Y24" i="4" s="1"/>
  <c r="X22" i="4"/>
  <c r="W22" i="4"/>
  <c r="W24" i="4" s="1"/>
  <c r="V22" i="4"/>
  <c r="V24" i="4" s="1"/>
  <c r="U22" i="4"/>
  <c r="U24" i="4" s="1"/>
  <c r="T22" i="4"/>
  <c r="S22" i="4"/>
  <c r="S24" i="4" s="1"/>
  <c r="R22" i="4"/>
  <c r="R24" i="4" s="1"/>
  <c r="Q22" i="4"/>
  <c r="Q24" i="4" s="1"/>
  <c r="P22" i="4"/>
  <c r="P24" i="4" s="1"/>
  <c r="O22" i="4"/>
  <c r="O24" i="4" s="1"/>
  <c r="N22" i="4"/>
  <c r="N24" i="4" s="1"/>
  <c r="M22" i="4"/>
  <c r="M24" i="4" s="1"/>
  <c r="L22" i="4"/>
  <c r="L24" i="4" s="1"/>
  <c r="K22" i="4"/>
  <c r="K24" i="4" s="1"/>
  <c r="K26" i="4" s="1"/>
  <c r="J22" i="4"/>
  <c r="J24" i="4" s="1"/>
  <c r="I22" i="4"/>
  <c r="H22" i="4"/>
  <c r="G22" i="4"/>
  <c r="G24" i="4" s="1"/>
  <c r="G26" i="4" s="1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G20" i="4"/>
  <c r="Z15" i="4"/>
  <c r="Y15" i="4"/>
  <c r="X15" i="4"/>
  <c r="W15" i="4"/>
  <c r="W58" i="4" s="1"/>
  <c r="V15" i="4"/>
  <c r="U15" i="4"/>
  <c r="T15" i="4"/>
  <c r="S15" i="4"/>
  <c r="S61" i="4" s="1"/>
  <c r="R15" i="4"/>
  <c r="Q15" i="4"/>
  <c r="P15" i="4"/>
  <c r="O15" i="4"/>
  <c r="O61" i="4" s="1"/>
  <c r="N15" i="4"/>
  <c r="M15" i="4"/>
  <c r="L15" i="4"/>
  <c r="K15" i="4"/>
  <c r="K58" i="4" s="1"/>
  <c r="J15" i="4"/>
  <c r="I15" i="4"/>
  <c r="H15" i="4"/>
  <c r="G15" i="4"/>
  <c r="G58" i="4" s="1"/>
  <c r="G13" i="4"/>
  <c r="G10" i="4"/>
  <c r="G9" i="4"/>
  <c r="G8" i="4"/>
  <c r="T33" i="4" s="1"/>
  <c r="G7" i="4"/>
  <c r="E14" i="3"/>
  <c r="E12" i="3"/>
  <c r="E13" i="3" s="1"/>
  <c r="E11" i="3"/>
  <c r="X24" i="4" l="1"/>
  <c r="X26" i="4" s="1"/>
  <c r="H24" i="4"/>
  <c r="H26" i="4" s="1"/>
  <c r="I24" i="4"/>
  <c r="I26" i="4" s="1"/>
  <c r="O26" i="4"/>
  <c r="S26" i="4"/>
  <c r="T24" i="4"/>
  <c r="T26" i="4" s="1"/>
  <c r="W26" i="4"/>
  <c r="E15" i="3"/>
  <c r="S58" i="4"/>
  <c r="M33" i="4"/>
  <c r="W61" i="4"/>
  <c r="O58" i="4"/>
  <c r="L26" i="4"/>
  <c r="P26" i="4"/>
  <c r="I61" i="4"/>
  <c r="I58" i="4"/>
  <c r="M61" i="4"/>
  <c r="M58" i="4"/>
  <c r="Q61" i="4"/>
  <c r="Q58" i="4"/>
  <c r="U61" i="4"/>
  <c r="U58" i="4"/>
  <c r="Y61" i="4"/>
  <c r="Y58" i="4"/>
  <c r="J61" i="4"/>
  <c r="J58" i="4"/>
  <c r="N61" i="4"/>
  <c r="N58" i="4"/>
  <c r="R61" i="4"/>
  <c r="R58" i="4"/>
  <c r="V61" i="4"/>
  <c r="V58" i="4"/>
  <c r="Z61" i="4"/>
  <c r="Z58" i="4"/>
  <c r="M26" i="4"/>
  <c r="Q26" i="4"/>
  <c r="U26" i="4"/>
  <c r="Y26" i="4"/>
  <c r="J26" i="4"/>
  <c r="N26" i="4"/>
  <c r="R26" i="4"/>
  <c r="V26" i="4"/>
  <c r="Z26" i="4"/>
  <c r="G11" i="4"/>
  <c r="G12" i="4" s="1"/>
  <c r="G61" i="4"/>
  <c r="H61" i="4"/>
  <c r="H58" i="4"/>
  <c r="L61" i="4"/>
  <c r="L58" i="4"/>
  <c r="P61" i="4"/>
  <c r="P58" i="4"/>
  <c r="T61" i="4"/>
  <c r="T58" i="4"/>
  <c r="X61" i="4"/>
  <c r="X58" i="4"/>
  <c r="K61" i="4"/>
  <c r="I10" i="5"/>
  <c r="I11" i="5" l="1"/>
  <c r="G41" i="4"/>
  <c r="G16" i="4"/>
  <c r="G14" i="4"/>
  <c r="E6" i="5"/>
  <c r="E8" i="5"/>
  <c r="F68" i="4" l="1"/>
  <c r="E7" i="5"/>
  <c r="G31" i="4"/>
  <c r="G54" i="4"/>
  <c r="H41" i="4"/>
  <c r="G32" i="4" l="1"/>
  <c r="G40" i="4" s="1"/>
  <c r="G56" i="4" s="1"/>
  <c r="H54" i="4"/>
  <c r="I41" i="4"/>
  <c r="G34" i="4" l="1"/>
  <c r="I54" i="4"/>
  <c r="J41" i="4"/>
  <c r="K41" i="4" l="1"/>
  <c r="J54" i="4"/>
  <c r="H31" i="4"/>
  <c r="G35" i="4"/>
  <c r="G39" i="4" s="1"/>
  <c r="G43" i="4" l="1"/>
  <c r="G44" i="4" s="1"/>
  <c r="H32" i="4"/>
  <c r="H40" i="4" s="1"/>
  <c r="H56" i="4" s="1"/>
  <c r="K54" i="4"/>
  <c r="L41" i="4"/>
  <c r="H34" i="4" l="1"/>
  <c r="I31" i="4" s="1"/>
  <c r="I32" i="4" s="1"/>
  <c r="I40" i="4" s="1"/>
  <c r="I56" i="4" s="1"/>
  <c r="G53" i="4"/>
  <c r="G55" i="4" s="1"/>
  <c r="G48" i="4"/>
  <c r="L54" i="4"/>
  <c r="M41" i="4"/>
  <c r="I34" i="4" l="1"/>
  <c r="J31" i="4" s="1"/>
  <c r="J32" i="4" s="1"/>
  <c r="J40" i="4" s="1"/>
  <c r="J56" i="4" s="1"/>
  <c r="H35" i="4"/>
  <c r="H39" i="4" s="1"/>
  <c r="H43" i="4" s="1"/>
  <c r="H44" i="4" s="1"/>
  <c r="E9" i="5"/>
  <c r="C15" i="5"/>
  <c r="M54" i="4"/>
  <c r="N41" i="4"/>
  <c r="G57" i="4"/>
  <c r="I35" i="4" l="1"/>
  <c r="I39" i="4" s="1"/>
  <c r="I43" i="4" s="1"/>
  <c r="I44" i="4" s="1"/>
  <c r="I48" i="4" s="1"/>
  <c r="E15" i="5" s="1"/>
  <c r="J34" i="4"/>
  <c r="K31" i="4" s="1"/>
  <c r="K32" i="4" s="1"/>
  <c r="K40" i="4" s="1"/>
  <c r="K56" i="4" s="1"/>
  <c r="H53" i="4"/>
  <c r="H55" i="4" s="1"/>
  <c r="H48" i="4"/>
  <c r="D15" i="5" s="1"/>
  <c r="O41" i="4"/>
  <c r="N54" i="4"/>
  <c r="G59" i="4"/>
  <c r="G68" i="4" s="1"/>
  <c r="I53" i="4" l="1"/>
  <c r="I55" i="4" s="1"/>
  <c r="I57" i="4" s="1"/>
  <c r="J35" i="4"/>
  <c r="J39" i="4" s="1"/>
  <c r="J43" i="4" s="1"/>
  <c r="J44" i="4" s="1"/>
  <c r="K34" i="4"/>
  <c r="O54" i="4"/>
  <c r="P41" i="4"/>
  <c r="G60" i="4"/>
  <c r="G69" i="4" s="1"/>
  <c r="H57" i="4"/>
  <c r="H59" i="4" l="1"/>
  <c r="H68" i="4" s="1"/>
  <c r="P54" i="4"/>
  <c r="Q41" i="4"/>
  <c r="L31" i="4"/>
  <c r="K35" i="4"/>
  <c r="K39" i="4" s="1"/>
  <c r="J48" i="4"/>
  <c r="F15" i="5" s="1"/>
  <c r="J53" i="4"/>
  <c r="J55" i="4" s="1"/>
  <c r="I59" i="4"/>
  <c r="I68" i="4" s="1"/>
  <c r="J57" i="4" l="1"/>
  <c r="Q54" i="4"/>
  <c r="R41" i="4"/>
  <c r="I60" i="4"/>
  <c r="I69" i="4" s="1"/>
  <c r="K43" i="4"/>
  <c r="K44" i="4" s="1"/>
  <c r="L32" i="4"/>
  <c r="L40" i="4" s="1"/>
  <c r="L56" i="4" s="1"/>
  <c r="H60" i="4"/>
  <c r="H69" i="4" s="1"/>
  <c r="K53" i="4" l="1"/>
  <c r="K55" i="4" s="1"/>
  <c r="K48" i="4"/>
  <c r="G15" i="5" s="1"/>
  <c r="S41" i="4"/>
  <c r="R54" i="4"/>
  <c r="J59" i="4"/>
  <c r="J68" i="4" s="1"/>
  <c r="L34" i="4"/>
  <c r="M31" i="4" l="1"/>
  <c r="L35" i="4"/>
  <c r="L39" i="4" s="1"/>
  <c r="S54" i="4"/>
  <c r="T41" i="4"/>
  <c r="J60" i="4"/>
  <c r="J69" i="4" s="1"/>
  <c r="K57" i="4"/>
  <c r="K59" i="4" l="1"/>
  <c r="K68" i="4" s="1"/>
  <c r="L43" i="4"/>
  <c r="L44" i="4" s="1"/>
  <c r="T54" i="4"/>
  <c r="U41" i="4"/>
  <c r="M32" i="4"/>
  <c r="M40" i="4" s="1"/>
  <c r="M56" i="4" s="1"/>
  <c r="M34" i="4" l="1"/>
  <c r="N31" i="4" s="1"/>
  <c r="N32" i="4" s="1"/>
  <c r="N40" i="4" s="1"/>
  <c r="N56" i="4" s="1"/>
  <c r="L53" i="4"/>
  <c r="L55" i="4" s="1"/>
  <c r="L48" i="4"/>
  <c r="H15" i="5" s="1"/>
  <c r="U54" i="4"/>
  <c r="V41" i="4"/>
  <c r="K60" i="4"/>
  <c r="K69" i="4" s="1"/>
  <c r="M35" i="4" l="1"/>
  <c r="M39" i="4" s="1"/>
  <c r="M43" i="4" s="1"/>
  <c r="M44" i="4" s="1"/>
  <c r="N34" i="4"/>
  <c r="O31" i="4" s="1"/>
  <c r="O32" i="4" s="1"/>
  <c r="O40" i="4" s="1"/>
  <c r="O56" i="4" s="1"/>
  <c r="W41" i="4"/>
  <c r="V54" i="4"/>
  <c r="L57" i="4"/>
  <c r="N35" i="4" l="1"/>
  <c r="N39" i="4" s="1"/>
  <c r="N43" i="4" s="1"/>
  <c r="N44" i="4" s="1"/>
  <c r="O34" i="4"/>
  <c r="P31" i="4" s="1"/>
  <c r="P32" i="4" s="1"/>
  <c r="P40" i="4" s="1"/>
  <c r="P56" i="4" s="1"/>
  <c r="M48" i="4"/>
  <c r="I15" i="5" s="1"/>
  <c r="M53" i="4"/>
  <c r="M55" i="4" s="1"/>
  <c r="W54" i="4"/>
  <c r="X41" i="4"/>
  <c r="L59" i="4"/>
  <c r="L68" i="4" s="1"/>
  <c r="P34" i="4" l="1"/>
  <c r="Q31" i="4" s="1"/>
  <c r="Q32" i="4" s="1"/>
  <c r="Q40" i="4" s="1"/>
  <c r="Q56" i="4" s="1"/>
  <c r="O35" i="4"/>
  <c r="O39" i="4" s="1"/>
  <c r="O43" i="4" s="1"/>
  <c r="O44" i="4" s="1"/>
  <c r="X54" i="4"/>
  <c r="Y41" i="4"/>
  <c r="M57" i="4"/>
  <c r="N53" i="4"/>
  <c r="N55" i="4" s="1"/>
  <c r="N48" i="4"/>
  <c r="J15" i="5" s="1"/>
  <c r="L60" i="4"/>
  <c r="L69" i="4" s="1"/>
  <c r="P35" i="4" l="1"/>
  <c r="P39" i="4" s="1"/>
  <c r="P43" i="4" s="1"/>
  <c r="P44" i="4" s="1"/>
  <c r="P48" i="4" s="1"/>
  <c r="L15" i="5" s="1"/>
  <c r="O48" i="4"/>
  <c r="K15" i="5" s="1"/>
  <c r="O53" i="4"/>
  <c r="O55" i="4" s="1"/>
  <c r="N57" i="4"/>
  <c r="Q34" i="4"/>
  <c r="M59" i="4"/>
  <c r="M68" i="4" s="1"/>
  <c r="Y54" i="4"/>
  <c r="Z41" i="4"/>
  <c r="Z54" i="4" s="1"/>
  <c r="P53" i="4" l="1"/>
  <c r="P55" i="4" s="1"/>
  <c r="P57" i="4" s="1"/>
  <c r="M60" i="4"/>
  <c r="M69" i="4" s="1"/>
  <c r="N59" i="4"/>
  <c r="N68" i="4" s="1"/>
  <c r="O57" i="4"/>
  <c r="R31" i="4"/>
  <c r="Q35" i="4"/>
  <c r="Q39" i="4" s="1"/>
  <c r="Q43" i="4" l="1"/>
  <c r="Q44" i="4" s="1"/>
  <c r="R32" i="4"/>
  <c r="R40" i="4" s="1"/>
  <c r="R56" i="4" s="1"/>
  <c r="O59" i="4"/>
  <c r="O68" i="4" s="1"/>
  <c r="N60" i="4"/>
  <c r="N69" i="4" s="1"/>
  <c r="P59" i="4"/>
  <c r="P68" i="4" s="1"/>
  <c r="R34" i="4" l="1"/>
  <c r="S31" i="4" s="1"/>
  <c r="S32" i="4" s="1"/>
  <c r="S40" i="4" s="1"/>
  <c r="S56" i="4" s="1"/>
  <c r="Q53" i="4"/>
  <c r="Q55" i="4" s="1"/>
  <c r="Q48" i="4"/>
  <c r="O60" i="4"/>
  <c r="O69" i="4" s="1"/>
  <c r="P60" i="4"/>
  <c r="P69" i="4" s="1"/>
  <c r="R35" i="4" l="1"/>
  <c r="R39" i="4" s="1"/>
  <c r="R43" i="4" s="1"/>
  <c r="R44" i="4" s="1"/>
  <c r="S34" i="4"/>
  <c r="Q57" i="4"/>
  <c r="R48" i="4" l="1"/>
  <c r="R53" i="4"/>
  <c r="R55" i="4" s="1"/>
  <c r="T31" i="4"/>
  <c r="S35" i="4"/>
  <c r="S39" i="4" s="1"/>
  <c r="Q59" i="4"/>
  <c r="Q68" i="4" s="1"/>
  <c r="T32" i="4" l="1"/>
  <c r="T40" i="4" s="1"/>
  <c r="T56" i="4" s="1"/>
  <c r="R57" i="4"/>
  <c r="S43" i="4"/>
  <c r="S44" i="4" s="1"/>
  <c r="Q60" i="4"/>
  <c r="Q69" i="4" s="1"/>
  <c r="S48" i="4" l="1"/>
  <c r="S53" i="4"/>
  <c r="S55" i="4" s="1"/>
  <c r="R59" i="4"/>
  <c r="R68" i="4" s="1"/>
  <c r="T34" i="4"/>
  <c r="R60" i="4" l="1"/>
  <c r="R69" i="4" s="1"/>
  <c r="S57" i="4"/>
  <c r="U31" i="4"/>
  <c r="T35" i="4"/>
  <c r="T39" i="4" s="1"/>
  <c r="U32" i="4" l="1"/>
  <c r="U40" i="4" s="1"/>
  <c r="U56" i="4" s="1"/>
  <c r="S59" i="4"/>
  <c r="S68" i="4" s="1"/>
  <c r="T43" i="4"/>
  <c r="T44" i="4" s="1"/>
  <c r="S60" i="4" l="1"/>
  <c r="S69" i="4" s="1"/>
  <c r="T53" i="4"/>
  <c r="T55" i="4" s="1"/>
  <c r="T48" i="4"/>
  <c r="U34" i="4"/>
  <c r="V31" i="4" l="1"/>
  <c r="U35" i="4"/>
  <c r="U39" i="4" s="1"/>
  <c r="T57" i="4"/>
  <c r="T59" i="4" l="1"/>
  <c r="T68" i="4" s="1"/>
  <c r="U43" i="4"/>
  <c r="U44" i="4" s="1"/>
  <c r="V32" i="4"/>
  <c r="V40" i="4" s="1"/>
  <c r="V56" i="4" s="1"/>
  <c r="V34" i="4" l="1"/>
  <c r="W31" i="4" s="1"/>
  <c r="W32" i="4" s="1"/>
  <c r="W40" i="4" s="1"/>
  <c r="W56" i="4" s="1"/>
  <c r="U48" i="4"/>
  <c r="U53" i="4"/>
  <c r="U55" i="4" s="1"/>
  <c r="T60" i="4"/>
  <c r="T69" i="4" s="1"/>
  <c r="V35" i="4" l="1"/>
  <c r="V39" i="4" s="1"/>
  <c r="V43" i="4" s="1"/>
  <c r="V44" i="4" s="1"/>
  <c r="V53" i="4" s="1"/>
  <c r="V55" i="4" s="1"/>
  <c r="W34" i="4"/>
  <c r="X31" i="4" s="1"/>
  <c r="X32" i="4" s="1"/>
  <c r="X40" i="4" s="1"/>
  <c r="X56" i="4" s="1"/>
  <c r="U57" i="4"/>
  <c r="W35" i="4" l="1"/>
  <c r="W39" i="4" s="1"/>
  <c r="W43" i="4" s="1"/>
  <c r="W44" i="4" s="1"/>
  <c r="V48" i="4"/>
  <c r="X34" i="4"/>
  <c r="U59" i="4"/>
  <c r="U68" i="4" s="1"/>
  <c r="V57" i="4"/>
  <c r="U60" i="4" l="1"/>
  <c r="U69" i="4" s="1"/>
  <c r="W53" i="4"/>
  <c r="W55" i="4" s="1"/>
  <c r="W48" i="4"/>
  <c r="Y31" i="4"/>
  <c r="X35" i="4"/>
  <c r="X39" i="4" s="1"/>
  <c r="V59" i="4"/>
  <c r="V68" i="4" s="1"/>
  <c r="V60" i="4" l="1"/>
  <c r="V69" i="4" s="1"/>
  <c r="W57" i="4"/>
  <c r="X43" i="4"/>
  <c r="X44" i="4" s="1"/>
  <c r="Y32" i="4"/>
  <c r="Y40" i="4" s="1"/>
  <c r="Y56" i="4" s="1"/>
  <c r="X53" i="4" l="1"/>
  <c r="X55" i="4" s="1"/>
  <c r="X48" i="4"/>
  <c r="W59" i="4"/>
  <c r="W68" i="4" s="1"/>
  <c r="Y34" i="4"/>
  <c r="W60" i="4" l="1"/>
  <c r="W69" i="4" s="1"/>
  <c r="Z31" i="4"/>
  <c r="Y35" i="4"/>
  <c r="Y39" i="4" s="1"/>
  <c r="X57" i="4"/>
  <c r="Y43" i="4" l="1"/>
  <c r="Y44" i="4" s="1"/>
  <c r="X59" i="4"/>
  <c r="X68" i="4" s="1"/>
  <c r="Z32" i="4"/>
  <c r="Z40" i="4" s="1"/>
  <c r="Z56" i="4" s="1"/>
  <c r="Z34" i="4" l="1"/>
  <c r="Z35" i="4" s="1"/>
  <c r="Z39" i="4" s="1"/>
  <c r="Z43" i="4" s="1"/>
  <c r="Z44" i="4" s="1"/>
  <c r="Y48" i="4"/>
  <c r="Y53" i="4"/>
  <c r="Y55" i="4" s="1"/>
  <c r="X60" i="4"/>
  <c r="X69" i="4" s="1"/>
  <c r="Y57" i="4" l="1"/>
  <c r="Z48" i="4"/>
  <c r="Z53" i="4"/>
  <c r="Z55" i="4" s="1"/>
  <c r="Z57" i="4" l="1"/>
  <c r="Y59" i="4"/>
  <c r="Y68" i="4" s="1"/>
  <c r="Z59" i="4" l="1"/>
  <c r="Z68" i="4" s="1"/>
  <c r="Y60" i="4"/>
  <c r="Y69" i="4" s="1"/>
  <c r="G72" i="4" l="1"/>
  <c r="I9" i="5" s="1"/>
  <c r="G63" i="4"/>
  <c r="G64" i="4"/>
  <c r="G70" i="4"/>
  <c r="Z60" i="4"/>
  <c r="Z69" i="4" s="1"/>
  <c r="G71" i="4" s="1"/>
  <c r="I7" i="5" l="1"/>
  <c r="I8" i="5"/>
</calcChain>
</file>

<file path=xl/sharedStrings.xml><?xml version="1.0" encoding="utf-8"?>
<sst xmlns="http://schemas.openxmlformats.org/spreadsheetml/2006/main" count="606" uniqueCount="362">
  <si>
    <t>SHEET 2  -  DEVELOPER INPUTS</t>
  </si>
  <si>
    <t>Fill every orange cell. Leave a cell as 0 if it does not apply to your project.</t>
  </si>
  <si>
    <t>A.  TECHNOLOGY &amp; PROJECT DETAILS</t>
  </si>
  <si>
    <t>A1</t>
  </si>
  <si>
    <t>Solar PV Installed Capacity</t>
  </si>
  <si>
    <t>kWp</t>
  </si>
  <si>
    <t>Input installed capacity</t>
  </si>
  <si>
    <t>A2</t>
  </si>
  <si>
    <t>Battery Energy Storage</t>
  </si>
  <si>
    <t>kWh</t>
  </si>
  <si>
    <t>Enter 0 if no battery</t>
  </si>
  <si>
    <t>A3</t>
  </si>
  <si>
    <t>kW</t>
  </si>
  <si>
    <t>Enter 0 if solar-only</t>
  </si>
  <si>
    <t>A4</t>
  </si>
  <si>
    <t>Project Design Life</t>
  </si>
  <si>
    <t>years</t>
  </si>
  <si>
    <t>20–25 years typical</t>
  </si>
  <si>
    <t>A5</t>
  </si>
  <si>
    <t>Connection Type  (1=Isolated  2=Inter-Connected)</t>
  </si>
  <si>
    <t>1 or 2</t>
  </si>
  <si>
    <t>2= Inter-connected</t>
  </si>
  <si>
    <t>Isolated = generates own power completely.  Inter-Connected = pays DUOS to DisCo wih tripartite agreement</t>
  </si>
  <si>
    <t>A6</t>
  </si>
  <si>
    <t>Total Year 1 Customer Demand  (MWh)</t>
  </si>
  <si>
    <t>MWh</t>
  </si>
  <si>
    <t>Enter total annual kWh demand from all customers ÷ 1000. Tariff uses MIN(generation, demand).</t>
  </si>
  <si>
    <t>A7</t>
  </si>
  <si>
    <t>B.  ASSETS &amp; CAPEX  (Quantity × Unit Cost)</t>
  </si>
  <si>
    <t>Ref.</t>
  </si>
  <si>
    <t>Asset / Component</t>
  </si>
  <si>
    <t>Qty</t>
  </si>
  <si>
    <t>Unit Cost (₦)</t>
  </si>
  <si>
    <t>Notes</t>
  </si>
  <si>
    <t>B1</t>
  </si>
  <si>
    <t>Solar PV Panels  (per kWp installed)</t>
  </si>
  <si>
    <t>B2</t>
  </si>
  <si>
    <t>PV Inverter / Charge Controller  (per kW)</t>
  </si>
  <si>
    <t>B3</t>
  </si>
  <si>
    <t>Mounting Structure + DC Cabling  (per kWp)</t>
  </si>
  <si>
    <t>B4</t>
  </si>
  <si>
    <t>B5</t>
  </si>
  <si>
    <t>Battery Cells / Modules  (per kWh)</t>
  </si>
  <si>
    <t>B6</t>
  </si>
  <si>
    <t>B7</t>
  </si>
  <si>
    <t>Alternate Generator  (per kW rated)</t>
  </si>
  <si>
    <t>B9</t>
  </si>
  <si>
    <t>LV Poles &amp; ABC Cable  (per km of line)</t>
  </si>
  <si>
    <t>B10</t>
  </si>
  <si>
    <t>Service Drops + In-Premises Wiring  (per household)</t>
  </si>
  <si>
    <t>B12</t>
  </si>
  <si>
    <t>Smart Prepaid Meters  (per unit)</t>
  </si>
  <si>
    <t>CAPEX - Others</t>
  </si>
  <si>
    <t>Contingency  (% of pre-contingency CapEx subtotal)</t>
  </si>
  <si>
    <t>rate</t>
  </si>
  <si>
    <t>Formula applies this to pre-contingency CapEx.</t>
  </si>
  <si>
    <t>D.  FINANCING STRUCTURE</t>
  </si>
  <si>
    <t>D1</t>
  </si>
  <si>
    <t>Grant / Non-Repayable Aid  (₦)</t>
  </si>
  <si>
    <t>₦</t>
  </si>
  <si>
    <t>ESMAP, World Bank, EU, REA grants. Enter total non-repayable amount.</t>
  </si>
  <si>
    <t>D3</t>
  </si>
  <si>
    <t>Developer Equity  (₦)</t>
  </si>
  <si>
    <t>Owner's own capital. Grant + Equity + Debt must equal total CapEx.</t>
  </si>
  <si>
    <t>D4</t>
  </si>
  <si>
    <t>Loan Amount  (₦)</t>
  </si>
  <si>
    <t>Bank, DFI, or bond. Balance after grants and equity.</t>
  </si>
  <si>
    <t>D5</t>
  </si>
  <si>
    <t>Annual Interest Rate on Loan</t>
  </si>
  <si>
    <t>% p.a.</t>
  </si>
  <si>
    <t>D6</t>
  </si>
  <si>
    <t>Loan Tenor  (years)</t>
  </si>
  <si>
    <t>yrs</t>
  </si>
  <si>
    <t>Typical 5–10 years for mini-grid projects.</t>
  </si>
  <si>
    <t>D7</t>
  </si>
  <si>
    <t>Grace Period  (moratorium)</t>
  </si>
  <si>
    <t>Years before principal repayment begins.</t>
  </si>
  <si>
    <t>F.  YEAR 1 OPERATING COSTS  (auto-escalated at CPI in Sheet 4)</t>
  </si>
  <si>
    <t>F1</t>
  </si>
  <si>
    <t>Site Technician / Manager  (annual salary + benefits)</t>
  </si>
  <si>
    <t>₦/yr</t>
  </si>
  <si>
    <t>F2</t>
  </si>
  <si>
    <t>Revenue Collection &amp; Customer Service Staff Salaries</t>
  </si>
  <si>
    <t>F3</t>
  </si>
  <si>
    <t>Security Personnel</t>
  </si>
  <si>
    <t>F4</t>
  </si>
  <si>
    <t>Management Fee  (if operations outsourced)</t>
  </si>
  <si>
    <t>Leave 0 if in-house</t>
  </si>
  <si>
    <t>F5</t>
  </si>
  <si>
    <t>Community Development Fund / Land Lease</t>
  </si>
  <si>
    <t>F6</t>
  </si>
  <si>
    <t>₦/litre</t>
  </si>
  <si>
    <t>Auto-escalated each year at CPI from Sheet 3</t>
  </si>
  <si>
    <t>F7</t>
  </si>
  <si>
    <t>hrs/yr</t>
  </si>
  <si>
    <t>Enter 0 if solar-only. Generator hours backup/peak-top-up.</t>
  </si>
  <si>
    <t>F8</t>
  </si>
  <si>
    <t>Year 1 Collection Efficiency  (% of bills collected)</t>
  </si>
  <si>
    <t xml:space="preserve">  %</t>
  </si>
  <si>
    <t>80% is a realistic starting point. Model improves by G2 ppts/yr to max G3.</t>
  </si>
  <si>
    <t>F9</t>
  </si>
  <si>
    <t>OPEX - Others</t>
  </si>
  <si>
    <t>G.  DEMAND &amp; COLLECTION ESCALATION ASSUMPTIONS</t>
  </si>
  <si>
    <t>G1</t>
  </si>
  <si>
    <t>Annual Customer Demand Growth Rate</t>
  </si>
  <si>
    <t>Used to grow Year 1 customer demand over the tariff horizon.</t>
  </si>
  <si>
    <t>G2</t>
  </si>
  <si>
    <t>Annual Collection Efficiency Improvement</t>
  </si>
  <si>
    <t>ppts p.a.</t>
  </si>
  <si>
    <t>Collection efficiency improvement per year.</t>
  </si>
  <si>
    <t>G3</t>
  </si>
  <si>
    <t>Maximum Collection Efficiency</t>
  </si>
  <si>
    <t>%</t>
  </si>
  <si>
    <t>Collection efficiency is capped at this level.</t>
  </si>
  <si>
    <t>G4</t>
  </si>
  <si>
    <t>Tariff Energy Basis</t>
  </si>
  <si>
    <t>text</t>
  </si>
  <si>
    <t>MIN(available net generation, forecast customer demand)</t>
  </si>
  <si>
    <t>Prevents tariff from being understated by overbuilt generation capacity.</t>
  </si>
  <si>
    <t>NSERC MINI-GRID RETAIL TARIFF DETERMINATION MODEL  -  NSERC/MG-001</t>
  </si>
  <si>
    <t>Niger State Mini-Grid Policy 2026  ·  Cost-Reflective  ·  Solar / Diesel / Gas / Hybrid  ·  20-Year Horizon</t>
  </si>
  <si>
    <t>COLOUR KEY</t>
  </si>
  <si>
    <t>ORANGE  =  DEVELOPER INPUT</t>
  </si>
  <si>
    <t>Filled by the mini-grid developer / applicant</t>
  </si>
  <si>
    <t>PURPLE  =  COMMISSION INPUT</t>
  </si>
  <si>
    <t>Filled by commission</t>
  </si>
  <si>
    <t>PALE TEAL  =  CALCULATED</t>
  </si>
  <si>
    <t>Auto-calculated - do not edit</t>
  </si>
  <si>
    <t>DARK TEAL  =  MODEL OUTPUT</t>
  </si>
  <si>
    <t>Key results and approved values</t>
  </si>
  <si>
    <t>RED  =  ALERT</t>
  </si>
  <si>
    <t>Something requires attention before approval</t>
  </si>
  <si>
    <t>HOW MINI-GRID TARIFFS WORK UNDER NSMGP 2026</t>
  </si>
  <si>
    <t>Mini-grid developers set their own tariff based on their actual project costs.</t>
  </si>
  <si>
    <t>NSERC's role is to:  (1) verify cost inputs are genuine,  (2) approve the tariff if it is cost-reflective and  (3) protect customers from excessive charges.</t>
  </si>
  <si>
    <t>The model calculates the developer's tariff from their inputs. The Commission checks it and approves or queries.</t>
  </si>
  <si>
    <t>PROJECT IDENTITY  -  Developer completes all orange cells</t>
  </si>
  <si>
    <t>Project / Site Name</t>
  </si>
  <si>
    <t>Developer / Operator Name</t>
  </si>
  <si>
    <t>NSERC Licence No. (or 'Pending')</t>
  </si>
  <si>
    <t>GPS Coordinates (Lat, Lon)</t>
  </si>
  <si>
    <t>Commercial Operation Date (Month/Year)</t>
  </si>
  <si>
    <t>MODEL STRUCTURE</t>
  </si>
  <si>
    <t>Sheet 2  -  DEVELOPER INPUTS</t>
  </si>
  <si>
    <t>Developer fills all orange cells</t>
  </si>
  <si>
    <t>Technology, location, assets, costs, financing, customers</t>
  </si>
  <si>
    <t>Sheet 3  -  COMMISSION PARAMETERS</t>
  </si>
  <si>
    <t>NSERC fills all purple cells</t>
  </si>
  <si>
    <t>WACC, levy, loss targets, income benchmarks</t>
  </si>
  <si>
    <t>Sheet 4  -  CALCULATIONS</t>
  </si>
  <si>
    <t>No manual input - all auto-calculated</t>
  </si>
  <si>
    <t>Generation, RAB, revenue requirement, P&amp;L, IRR, DSCR</t>
  </si>
  <si>
    <t>Sheet 5  -  TARIFF DETERMINATION</t>
  </si>
  <si>
    <t>Commission reviews and approves</t>
  </si>
  <si>
    <t>Approved tariff, 10-yr path, sensitivity, compliance, sign-off</t>
  </si>
  <si>
    <t>SHEET 3  -  COMMISSION PARAMETERS</t>
  </si>
  <si>
    <t>NSERC staff fill all purple cells. These are the regulatory parameters applied to every project.</t>
  </si>
  <si>
    <t>A.  WACC PARAMETERS  (reviewed every 5 years at major tariff review)</t>
  </si>
  <si>
    <t>W1</t>
  </si>
  <si>
    <t>Risk-Free Rate  (Rf)  -  Nigeria CBN / T-Bill rate</t>
  </si>
  <si>
    <t>Use MPR or FGN T-Bill. Reviewed at each major determination.</t>
  </si>
  <si>
    <t>W2</t>
  </si>
  <si>
    <t>Expected Equity Market Return  (Rm)</t>
  </si>
  <si>
    <t>NSE All-Share Index long-run expected annual return.</t>
  </si>
  <si>
    <t>W3</t>
  </si>
  <si>
    <t>Equity Beta  (β)  -  mini-grid sector</t>
  </si>
  <si>
    <t>ratio</t>
  </si>
  <si>
    <t>W5</t>
  </si>
  <si>
    <t>Corporate + Education Tax Rate</t>
  </si>
  <si>
    <t>Current CITA rate.</t>
  </si>
  <si>
    <t>W6</t>
  </si>
  <si>
    <t>Debt Share  (D/C)  -  Commission-approved capital structure</t>
  </si>
  <si>
    <t>W7</t>
  </si>
  <si>
    <t>Equity Share  (E/C)  -  must equal 1 minus Debt Share</t>
  </si>
  <si>
    <t>W8</t>
  </si>
  <si>
    <t xml:space="preserve">Market Risk Premium  [Rm − Rf] </t>
  </si>
  <si>
    <t>W9</t>
  </si>
  <si>
    <t xml:space="preserve">Cost of Equity  [Ke = Rf + β×(Rm−Rf) + Rural Premium] </t>
  </si>
  <si>
    <t>W10</t>
  </si>
  <si>
    <t>After-Tax Cost of Debt  [Kd × (1 − Tax Rate)]</t>
  </si>
  <si>
    <t>Calculated from developer's stated loan interest rate.</t>
  </si>
  <si>
    <t>WACC</t>
  </si>
  <si>
    <t>POST-TAX WACC  [D/C × Kd(1−t)  +  E/C × Ke]</t>
  </si>
  <si>
    <t>B.  REGULATORY SETTINGS</t>
  </si>
  <si>
    <t>R1</t>
  </si>
  <si>
    <t>NSERC Regulatory Levy  (% applied to DisCo revenue)</t>
  </si>
  <si>
    <t>Applied to Return + Depreciation + OpEx only. Not applied to fuel cost.</t>
  </si>
  <si>
    <t>R2</t>
  </si>
  <si>
    <t>Commission Loss Target - Year 1  (max allowable LV loss %)</t>
  </si>
  <si>
    <t>Losses above this are the developer's problem - not recoverable in tariff.</t>
  </si>
  <si>
    <t>R3</t>
  </si>
  <si>
    <t>Annual Loss Reduction Target  (ppts per year)</t>
  </si>
  <si>
    <t>ppts</t>
  </si>
  <si>
    <t>Target tightens by this amount each year, incentivising loss reduction.</t>
  </si>
  <si>
    <t>R4</t>
  </si>
  <si>
    <t>Approved Weighted Average Asset Life  (years)</t>
  </si>
  <si>
    <t>Solar 25yr, BESS 7yr, Diesel 10yr, LV 25yr → Commission-approved weighted avg.</t>
  </si>
  <si>
    <t>R6</t>
  </si>
  <si>
    <t>Minimum DSCR  (lender benchmark)</t>
  </si>
  <si>
    <t>x</t>
  </si>
  <si>
    <t>R7</t>
  </si>
  <si>
    <t>CPI / Annual Cost Escalation Rate</t>
  </si>
  <si>
    <t>Applied to OpEx escalation each year.</t>
  </si>
  <si>
    <t>R8</t>
  </si>
  <si>
    <t>Alternate Fuel Price Annual Escalation Rate</t>
  </si>
  <si>
    <t>Can differ from CPI if fuel is subsidised or deregulated separately.</t>
  </si>
  <si>
    <t>D.  TARIFF REVIEW SCHEDULE</t>
  </si>
  <si>
    <t>V1</t>
  </si>
  <si>
    <t>Major Review Interval  (full redetermination)</t>
  </si>
  <si>
    <t>NSERC/R005: every 5 years.</t>
  </si>
  <si>
    <t>V2</t>
  </si>
  <si>
    <t>Minor Review Interval  (pass-through adjustment)</t>
  </si>
  <si>
    <t>months</t>
  </si>
  <si>
    <t>Every 6 months for generation/fuel cost pass-through update.</t>
  </si>
  <si>
    <t>V3</t>
  </si>
  <si>
    <t>Base Year of This Determination</t>
  </si>
  <si>
    <t>year</t>
  </si>
  <si>
    <t>SHEET 4  -  CALCULATIONS</t>
  </si>
  <si>
    <t>Auto-calculated from Sheets 2 and 3.  Do not edit any cell in this sheet.</t>
  </si>
  <si>
    <t>Item</t>
  </si>
  <si>
    <t>Unit</t>
  </si>
  <si>
    <t>Y1</t>
  </si>
  <si>
    <t>Y2</t>
  </si>
  <si>
    <t>Y3</t>
  </si>
  <si>
    <t>Y4</t>
  </si>
  <si>
    <t>Y5</t>
  </si>
  <si>
    <t>Y6</t>
  </si>
  <si>
    <t>Y7</t>
  </si>
  <si>
    <t>Y8</t>
  </si>
  <si>
    <t>Y9</t>
  </si>
  <si>
    <t>Y10</t>
  </si>
  <si>
    <t>Y11</t>
  </si>
  <si>
    <t>Y12</t>
  </si>
  <si>
    <t>Y13</t>
  </si>
  <si>
    <t>Y14</t>
  </si>
  <si>
    <t>Y15</t>
  </si>
  <si>
    <t>Y16</t>
  </si>
  <si>
    <t>Y17</t>
  </si>
  <si>
    <t>Y18</t>
  </si>
  <si>
    <t>Y19</t>
  </si>
  <si>
    <t>Y20</t>
  </si>
  <si>
    <t>A.  CAPEX  (logistics-adjusted)</t>
  </si>
  <si>
    <t>A0</t>
  </si>
  <si>
    <t>Solar PV System CapEx  (₦)</t>
  </si>
  <si>
    <t>Battery (BESS) CapEx  (₦)</t>
  </si>
  <si>
    <t>Alternate Generator CapEx  (₦)</t>
  </si>
  <si>
    <t>Distribution &amp; Metering CapEx  (₦)</t>
  </si>
  <si>
    <t>Civil &amp; Development CapEx  (₦)</t>
  </si>
  <si>
    <t>TOTAL GROSS CAPEX  (₦)</t>
  </si>
  <si>
    <t>Less: Grants (₦)</t>
  </si>
  <si>
    <t>A8</t>
  </si>
  <si>
    <t>NET DEVELOPER CAPEX - RAB BASE  (₦)</t>
  </si>
  <si>
    <t>A9</t>
  </si>
  <si>
    <t>Annual Debt Service  (₦)  [PMT formula]</t>
  </si>
  <si>
    <t>Financing Gap  [Grants+Equity+Debt − Gross CapEx]  should = 0</t>
  </si>
  <si>
    <t>B.  ENERGY GENERATION  (20-year time series)</t>
  </si>
  <si>
    <t>Parameter</t>
  </si>
  <si>
    <t>B0</t>
  </si>
  <si>
    <t>Performance Ratio  [(1 − Combined Loss)]</t>
  </si>
  <si>
    <t>PV Panel Degradation Factor  (cumulative)</t>
  </si>
  <si>
    <t>Solar Generation  (MWh)</t>
  </si>
  <si>
    <t>Diesel/Gas Generation  (MWh)</t>
  </si>
  <si>
    <t>Total Gross Generation  (MWh)</t>
  </si>
  <si>
    <t>Technical LV Loss Rate  (%)</t>
  </si>
  <si>
    <t>Available Net Generation after LV Loss  (MWh)</t>
  </si>
  <si>
    <t>Annual Fuel Cost  (₦)</t>
  </si>
  <si>
    <t>B8</t>
  </si>
  <si>
    <t>Forecast Customer Demand  (MWh)</t>
  </si>
  <si>
    <t>C1</t>
  </si>
  <si>
    <t>Opening RAB  (₦)</t>
  </si>
  <si>
    <t>C2</t>
  </si>
  <si>
    <t>Annual Depreciation  (₦)  [Opening RAB ÷ Asset Life]</t>
  </si>
  <si>
    <t>C3</t>
  </si>
  <si>
    <t>Battery Replacement CapEx  (Y7 and Y14 only)</t>
  </si>
  <si>
    <t>C4</t>
  </si>
  <si>
    <t>CLOSING RAB  (₦)  [Opening + Additions − Depreciation]</t>
  </si>
  <si>
    <t>C5</t>
  </si>
  <si>
    <t>Average RAB  [(Opening + Closing) ÷ 2]</t>
  </si>
  <si>
    <t>D.  REVENUE REQUIREMENT  (R = B×r  +  d  +  E  +  F  +  Levy)</t>
  </si>
  <si>
    <t>Building Block</t>
  </si>
  <si>
    <t>Return on Capital  [Average RAB × WACC]</t>
  </si>
  <si>
    <t>D2</t>
  </si>
  <si>
    <t>Depreciation  (d)</t>
  </si>
  <si>
    <t>Operating Expenses  (E)  [staff + O&amp;M + insurance, CPI-escalated]</t>
  </si>
  <si>
    <t>Fuel Cost  (F)</t>
  </si>
  <si>
    <t>NSERC Regulatory Charge</t>
  </si>
  <si>
    <t>RR</t>
  </si>
  <si>
    <t>TOTAL REVENUE  (₦)</t>
  </si>
  <si>
    <t>E.  REQUIRED TARIFF  (₦/kWh - what the developer needs to charge)</t>
  </si>
  <si>
    <t>₦/kWh</t>
  </si>
  <si>
    <t>E1</t>
  </si>
  <si>
    <t>DEVELOPER'S  TARIFF  (₦/kWh)  [Total Revenue ÷ Net Energy]</t>
  </si>
  <si>
    <t>G.  INVESTOR P&amp;L  (20-year projection)</t>
  </si>
  <si>
    <t>Revenue Collected  (₦)  [Allowed × Collection Efficiency]</t>
  </si>
  <si>
    <t>Less: OpEx + Fuel  (₦)</t>
  </si>
  <si>
    <t>EBITDA</t>
  </si>
  <si>
    <t>EBITDA  (₦)</t>
  </si>
  <si>
    <t>Less: Depreciation  (₦)</t>
  </si>
  <si>
    <t>EBIT</t>
  </si>
  <si>
    <t>EBIT  (₦)</t>
  </si>
  <si>
    <t>Less: Annual Debt Service  (₦)</t>
  </si>
  <si>
    <t>G5</t>
  </si>
  <si>
    <t>Less: Tax  [30% × max(EBIT, 0)]</t>
  </si>
  <si>
    <t>NPF</t>
  </si>
  <si>
    <t>NET PROFIT / (LOSS)  (₦)</t>
  </si>
  <si>
    <t>G6</t>
  </si>
  <si>
    <t>DSCR  [EBITDA ÷ Annual Debt Service]</t>
  </si>
  <si>
    <t>G7</t>
  </si>
  <si>
    <t>NPV at 20% - Project Free Cash Flow</t>
  </si>
  <si>
    <t>NPV at 20% (₦) - if positive, IRR &gt; 20%</t>
  </si>
  <si>
    <t>G8</t>
  </si>
  <si>
    <t>NPV at 25% - Project Free Cash Flow</t>
  </si>
  <si>
    <t>H.  PROJECT CASH FLOW / RETURN METRICS</t>
  </si>
  <si>
    <t>Y0</t>
  </si>
  <si>
    <t>H1</t>
  </si>
  <si>
    <t>Project Free Cash Flow  (before financing)</t>
  </si>
  <si>
    <t>H2</t>
  </si>
  <si>
    <t>Equity Cash Flow  (after debt service)</t>
  </si>
  <si>
    <t>H3</t>
  </si>
  <si>
    <t>Project IRR</t>
  </si>
  <si>
    <t>H4</t>
  </si>
  <si>
    <t>Equity IRR</t>
  </si>
  <si>
    <t>H5</t>
  </si>
  <si>
    <t>Project NPV at WACC</t>
  </si>
  <si>
    <t>H6</t>
  </si>
  <si>
    <t>Minimum DSCR over debt tenor</t>
  </si>
  <si>
    <t>SHEET 5  -  TARIFF DETERMINATION</t>
  </si>
  <si>
    <t>Commission reviews the developer's calculated tariff, verifies costs, and approves or queries.</t>
  </si>
  <si>
    <t>A.  TARIFF SUMMARY  -  what the developer needs vs what is allowed</t>
  </si>
  <si>
    <t>TS1</t>
  </si>
  <si>
    <t>Total Gross Project CapEx  (₦)</t>
  </si>
  <si>
    <t>Return Metrics</t>
  </si>
  <si>
    <t>TS2</t>
  </si>
  <si>
    <t>Net Developer CapEx after Grants  (₦)</t>
  </si>
  <si>
    <t>This is the RAB base</t>
  </si>
  <si>
    <t>TS3</t>
  </si>
  <si>
    <t>Grant Coverage Ratio  (%)</t>
  </si>
  <si>
    <t>Higher = lower tariff</t>
  </si>
  <si>
    <t>TS4</t>
  </si>
  <si>
    <t>Project NPV @ WACC</t>
  </si>
  <si>
    <t>DEVELOPER'S TARIFF - Year 1  (₦/kWh)</t>
  </si>
  <si>
    <t>Cost-reflective amount</t>
  </si>
  <si>
    <t>Minimum DSCR</t>
  </si>
  <si>
    <t>Billable Energy Y1 (MWh)</t>
  </si>
  <si>
    <t>B.  10-YEAR TARIFF PATH  (₦/kWh)</t>
  </si>
  <si>
    <t>Year</t>
  </si>
  <si>
    <t>Tariff  (₦/kWh)</t>
  </si>
  <si>
    <t>D.  DUOS  (only if Inter-Connected - developer input A6 = 2)</t>
  </si>
  <si>
    <t>DU0</t>
  </si>
  <si>
    <t>Grid Connection Mode  (from developer Sheet 2 A6)</t>
  </si>
  <si>
    <t>DU1</t>
  </si>
  <si>
    <t>DisCo DUOS Charge  (₦/kWh)  -  enter from NSERC-approved DisCo tariff</t>
  </si>
  <si>
    <t>Current NSERC-approved DUOS rate for this area</t>
  </si>
  <si>
    <t>Community</t>
  </si>
  <si>
    <t>LGA</t>
  </si>
  <si>
    <t>BMS + Enclosure + BESS Civil Works</t>
  </si>
  <si>
    <t>Solar Installation &amp; Civil Works</t>
  </si>
  <si>
    <t>B11</t>
  </si>
  <si>
    <t>Debt Service Coverage Ratio must be ≥ this.</t>
  </si>
  <si>
    <t>Backup Generator Capacity</t>
  </si>
  <si>
    <t>Backup Generator Runtime - Year 1  (hours per year)</t>
  </si>
  <si>
    <t>Backup Fuel Price - Year 1  (₦ per litre)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</si>
</sst>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\₦#,##0.00;[Red]\(\₦#,##0.00\);\-"/>
    <numFmt numFmtId="165" formatCode="\₦#,##0;[Red]\(\₦#,##0\);\-"/>
    <numFmt numFmtId="166" formatCode="0.00%;[Red]\(0.00%\);\-"/>
    <numFmt numFmtId="167" formatCode="0.00\x"/>
    <numFmt numFmtId="168" formatCode="0.0%"/>
    <numFmt numFmtId="169" formatCode="0.000"/>
    <numFmt numFmtId="170" formatCode="0.0000"/>
    <numFmt numFmtId="171" formatCode="#,##0.00;[Red]\(#,##0.00\);\-"/>
  </numFmts>
  <fonts count="33" x14ac:knownFonts="1">
    <font>
      <sz val="11"/>
      <color theme="1"/>
      <name val="Calibri"/>
    </font>
    <font>
      <b/>
      <sz val="16"/>
      <color rgb="FFFFFFFF"/>
      <name val="Aptos"/>
      <family val="2"/>
    </font>
    <font>
      <sz val="11"/>
      <color theme="1"/>
      <name val="Aptos"/>
      <family val="2"/>
    </font>
    <font>
      <sz val="10"/>
      <color theme="1"/>
      <name val="Aptos"/>
      <family val="2"/>
    </font>
    <font>
      <sz val="9"/>
      <color rgb="FFB2DFDB"/>
      <name val="Aptos"/>
      <family val="2"/>
    </font>
    <font>
      <b/>
      <sz val="10"/>
      <color rgb="FFFFFFFF"/>
      <name val="Aptos"/>
      <family val="2"/>
    </font>
    <font>
      <sz val="10"/>
      <color rgb="FF424242"/>
      <name val="Aptos"/>
      <family val="2"/>
    </font>
    <font>
      <sz val="10"/>
      <color rgb="FF2B2B2B"/>
      <name val="Aptos"/>
      <family val="2"/>
    </font>
    <font>
      <sz val="10"/>
      <color rgb="FFBF360C"/>
      <name val="Aptos"/>
      <family val="2"/>
    </font>
    <font>
      <sz val="9"/>
      <color rgb="FF9E9E9E"/>
      <name val="Aptos"/>
      <family val="2"/>
    </font>
    <font>
      <b/>
      <sz val="9"/>
      <color rgb="FFFFFFFF"/>
      <name val="Aptos"/>
      <family val="2"/>
    </font>
    <font>
      <sz val="9"/>
      <color rgb="FF4A148C"/>
      <name val="Aptos"/>
      <family val="2"/>
    </font>
    <font>
      <sz val="9"/>
      <color rgb="FF004D40"/>
      <name val="Aptos"/>
      <family val="2"/>
    </font>
    <font>
      <b/>
      <sz val="10"/>
      <color rgb="FFBF360C"/>
      <name val="Aptos"/>
      <family val="2"/>
    </font>
    <font>
      <sz val="9"/>
      <color rgb="FFBF360C"/>
      <name val="Aptos"/>
      <family val="2"/>
    </font>
    <font>
      <b/>
      <sz val="10"/>
      <color rgb="FF4A148C"/>
      <name val="Aptos"/>
      <family val="2"/>
    </font>
    <font>
      <b/>
      <sz val="10"/>
      <color rgb="FF004D40"/>
      <name val="Aptos"/>
      <family val="2"/>
    </font>
    <font>
      <sz val="9"/>
      <color rgb="FFFFFFFF"/>
      <name val="Aptos"/>
      <family val="2"/>
    </font>
    <font>
      <b/>
      <sz val="10"/>
      <color rgb="FFB71C1C"/>
      <name val="Aptos"/>
      <family val="2"/>
    </font>
    <font>
      <sz val="9"/>
      <color rgb="FFB71C1C"/>
      <name val="Aptos"/>
      <family val="2"/>
    </font>
    <font>
      <sz val="10"/>
      <color rgb="FF4A148C"/>
      <name val="Aptos"/>
      <family val="2"/>
    </font>
    <font>
      <sz val="10"/>
      <color rgb="FF004D40"/>
      <name val="Aptos"/>
      <family val="2"/>
    </font>
    <font>
      <sz val="10"/>
      <color rgb="FFFFFFFF"/>
      <name val="Aptos"/>
      <family val="2"/>
    </font>
    <font>
      <b/>
      <sz val="11"/>
      <color rgb="FFFFFFFF"/>
      <name val="Aptos"/>
      <family val="2"/>
    </font>
    <font>
      <b/>
      <sz val="8"/>
      <color rgb="FFFFFFFF"/>
      <name val="Aptos"/>
      <family val="2"/>
    </font>
    <font>
      <b/>
      <sz val="10"/>
      <color rgb="FF424242"/>
      <name val="Aptos"/>
      <family val="2"/>
    </font>
    <font>
      <sz val="10"/>
      <color rgb="FF757575"/>
      <name val="Aptos"/>
      <family val="2"/>
    </font>
    <font>
      <sz val="10"/>
      <color rgb="FF424242"/>
      <name val="Calibri"/>
    </font>
    <font>
      <sz val="10"/>
      <color rgb="FFE65100"/>
      <name val="Calibri"/>
    </font>
    <font>
      <sz val="10"/>
      <color rgb="FF757575"/>
      <name val="Calibri"/>
    </font>
    <font>
      <sz val="8"/>
      <name val="Calibri"/>
    </font>
    <font>
      <sz val="10"/>
      <color theme="0"/>
      <name val="Aptos"/>
      <family val="2"/>
    </font>
    <font>
      <b/>
      <sz val="10"/>
      <color theme="0"/>
      <name val="Aptos"/>
      <family val="2"/>
    </font>
  </fonts>
  <fills count="19">
    <fill>
      <patternFill patternType="none"/>
    </fill>
    <fill>
      <patternFill patternType="gray125"/>
    </fill>
    <fill>
      <patternFill patternType="solid">
        <fgColor rgb="FF006B6B"/>
      </patternFill>
    </fill>
    <fill>
      <patternFill patternType="solid">
        <fgColor rgb="FF004040"/>
      </patternFill>
    </fill>
    <fill>
      <patternFill patternType="solid">
        <fgColor rgb="FFFFF3E0"/>
      </patternFill>
    </fill>
    <fill>
      <patternFill patternType="solid">
        <fgColor rgb="FFF3E5F5"/>
      </patternFill>
    </fill>
    <fill>
      <patternFill patternType="solid">
        <fgColor rgb="FFE0F2F1"/>
      </patternFill>
    </fill>
    <fill>
      <patternFill patternType="solid">
        <fgColor rgb="FFFFEBEE"/>
      </patternFill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0F5D5E"/>
      </patternFill>
    </fill>
    <fill>
      <patternFill patternType="solid">
        <fgColor rgb="FFD9EDEB"/>
      </patternFill>
    </fill>
    <fill>
      <patternFill patternType="solid">
        <fgColor rgb="FFFCE4D6"/>
      </patternFill>
    </fill>
    <fill>
      <patternFill patternType="solid">
        <fgColor rgb="FFE4DFEC"/>
      </patternFill>
    </fill>
    <fill>
      <patternFill patternType="solid">
        <fgColor rgb="FFF2F2F2"/>
      </patternFill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rgb="FFFFF3E0"/>
      </patternFill>
    </fill>
    <fill>
      <patternFill patternType="solid">
        <fgColor rgb="FF006B6B"/>
        <bgColor indexed="64"/>
      </patternFill>
    </fill>
  </fills>
  <borders count="29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F4A261"/>
      </left>
      <right style="thin">
        <color rgb="FFF4A261"/>
      </right>
      <top style="thin">
        <color rgb="FFF4A261"/>
      </top>
      <bottom style="thin">
        <color rgb="FFF4A261"/>
      </bottom>
      <diagonal/>
    </border>
    <border>
      <left/>
      <right/>
      <top style="thin">
        <color rgb="FFF4A261"/>
      </top>
      <bottom style="thin">
        <color rgb="FFF4A261"/>
      </bottom>
      <diagonal/>
    </border>
    <border>
      <left/>
      <right style="thin">
        <color rgb="FFF4A261"/>
      </right>
      <top style="thin">
        <color rgb="FFF4A261"/>
      </top>
      <bottom style="thin">
        <color rgb="FFF4A261"/>
      </bottom>
      <diagonal/>
    </border>
    <border>
      <left style="thin">
        <color rgb="FFCE93D8"/>
      </left>
      <right style="thin">
        <color rgb="FFCE93D8"/>
      </right>
      <top style="thin">
        <color rgb="FFCE93D8"/>
      </top>
      <bottom style="thin">
        <color rgb="FFCE93D8"/>
      </bottom>
      <diagonal/>
    </border>
    <border>
      <left style="thin">
        <color rgb="FF80CBC4"/>
      </left>
      <right style="thin">
        <color rgb="FF80CBC4"/>
      </right>
      <top style="thin">
        <color rgb="FF80CBC4"/>
      </top>
      <bottom style="thin">
        <color rgb="FF80CBC4"/>
      </bottom>
      <diagonal/>
    </border>
    <border>
      <left style="medium">
        <color rgb="FF006B6B"/>
      </left>
      <right style="medium">
        <color rgb="FF006B6B"/>
      </right>
      <top style="medium">
        <color rgb="FF006B6B"/>
      </top>
      <bottom style="medium">
        <color rgb="FF006B6B"/>
      </bottom>
      <diagonal/>
    </border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F4A261"/>
      </left>
      <right style="thin">
        <color rgb="FFF4A261"/>
      </right>
      <top style="thin">
        <color rgb="FFF4A261"/>
      </top>
      <bottom style="thin">
        <color rgb="FFF4A261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F4A261"/>
      </left>
      <right style="thin">
        <color rgb="FFF4A261"/>
      </right>
      <top style="thin">
        <color rgb="FFF4A261"/>
      </top>
      <bottom style="thin">
        <color rgb="FFF4A261"/>
      </bottom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</borders>
  <cellStyleXfs count="1">
    <xf numFmtId="0" fontId="0" fillId="0" borderId="8"/>
  </cellStyleXfs>
  <cellXfs count="114">
    <xf numFmtId="0" fontId="0" fillId="0" borderId="0" xfId="0" applyBorder="1"/>
    <xf numFmtId="0" fontId="2" fillId="0" borderId="0" xfId="0" applyFont="1" applyBorder="1"/>
    <xf numFmtId="0" fontId="3" fillId="2" borderId="0" xfId="0" applyFont="1" applyFill="1" applyBorder="1"/>
    <xf numFmtId="0" fontId="2" fillId="2" borderId="0" xfId="0" applyFont="1" applyFill="1" applyBorder="1"/>
    <xf numFmtId="49" fontId="5" fillId="3" borderId="1" xfId="0" applyNumberFormat="1" applyFont="1" applyFill="1" applyBorder="1" applyAlignment="1">
      <alignment horizontal="left" vertical="center"/>
    </xf>
    <xf numFmtId="49" fontId="6" fillId="9" borderId="1" xfId="0" applyNumberFormat="1" applyFont="1" applyFill="1" applyBorder="1" applyAlignment="1">
      <alignment horizontal="left" vertical="center"/>
    </xf>
    <xf numFmtId="49" fontId="7" fillId="8" borderId="1" xfId="0" applyNumberFormat="1" applyFont="1" applyFill="1" applyBorder="1" applyAlignment="1">
      <alignment horizontal="left" vertical="center"/>
    </xf>
    <xf numFmtId="3" fontId="8" fillId="4" borderId="2" xfId="0" applyNumberFormat="1" applyFont="1" applyFill="1" applyBorder="1" applyAlignment="1">
      <alignment horizontal="right" vertical="center"/>
    </xf>
    <xf numFmtId="49" fontId="9" fillId="8" borderId="1" xfId="0" applyNumberFormat="1" applyFont="1" applyFill="1" applyBorder="1" applyAlignment="1">
      <alignment horizontal="left" vertical="center" wrapText="1"/>
    </xf>
    <xf numFmtId="0" fontId="2" fillId="8" borderId="0" xfId="0" applyFont="1" applyFill="1" applyBorder="1"/>
    <xf numFmtId="49" fontId="10" fillId="3" borderId="1" xfId="0" applyNumberFormat="1" applyFont="1" applyFill="1" applyBorder="1" applyAlignment="1">
      <alignment horizontal="left" vertical="center"/>
    </xf>
    <xf numFmtId="49" fontId="10" fillId="3" borderId="1" xfId="0" applyNumberFormat="1" applyFont="1" applyFill="1" applyBorder="1" applyAlignment="1">
      <alignment horizontal="center" vertical="center"/>
    </xf>
    <xf numFmtId="3" fontId="8" fillId="12" borderId="2" xfId="0" applyNumberFormat="1" applyFont="1" applyFill="1" applyBorder="1" applyAlignment="1">
      <alignment horizontal="right" vertical="center"/>
    </xf>
    <xf numFmtId="10" fontId="8" fillId="12" borderId="2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11" fillId="5" borderId="1" xfId="0" applyNumberFormat="1" applyFont="1" applyFill="1" applyBorder="1" applyAlignment="1">
      <alignment horizontal="left" vertical="center"/>
    </xf>
    <xf numFmtId="49" fontId="16" fillId="6" borderId="1" xfId="0" applyNumberFormat="1" applyFont="1" applyFill="1" applyBorder="1" applyAlignment="1">
      <alignment horizontal="left" vertical="center"/>
    </xf>
    <xf numFmtId="10" fontId="20" fillId="13" borderId="5" xfId="0" applyNumberFormat="1" applyFont="1" applyFill="1" applyBorder="1" applyAlignment="1">
      <alignment horizontal="right" vertical="center"/>
    </xf>
    <xf numFmtId="169" fontId="20" fillId="13" borderId="5" xfId="0" applyNumberFormat="1" applyFont="1" applyFill="1" applyBorder="1" applyAlignment="1">
      <alignment horizontal="right" vertical="center"/>
    </xf>
    <xf numFmtId="168" fontId="20" fillId="13" borderId="5" xfId="0" applyNumberFormat="1" applyFont="1" applyFill="1" applyBorder="1" applyAlignment="1">
      <alignment horizontal="right" vertical="center"/>
    </xf>
    <xf numFmtId="49" fontId="21" fillId="6" borderId="1" xfId="0" applyNumberFormat="1" applyFont="1" applyFill="1" applyBorder="1" applyAlignment="1">
      <alignment horizontal="left" vertical="center"/>
    </xf>
    <xf numFmtId="10" fontId="21" fillId="6" borderId="6" xfId="0" applyNumberFormat="1" applyFont="1" applyFill="1" applyBorder="1" applyAlignment="1">
      <alignment horizontal="right" vertical="center"/>
    </xf>
    <xf numFmtId="10" fontId="16" fillId="6" borderId="6" xfId="0" applyNumberFormat="1" applyFont="1" applyFill="1" applyBorder="1" applyAlignment="1">
      <alignment horizontal="right" vertical="center"/>
    </xf>
    <xf numFmtId="49" fontId="22" fillId="2" borderId="1" xfId="0" applyNumberFormat="1" applyFont="1" applyFill="1" applyBorder="1" applyAlignment="1">
      <alignment horizontal="left" vertical="center"/>
    </xf>
    <xf numFmtId="10" fontId="23" fillId="2" borderId="7" xfId="0" applyNumberFormat="1" applyFont="1" applyFill="1" applyBorder="1" applyAlignment="1">
      <alignment horizontal="right" vertical="center"/>
    </xf>
    <xf numFmtId="3" fontId="20" fillId="13" borderId="5" xfId="0" applyNumberFormat="1" applyFont="1" applyFill="1" applyBorder="1" applyAlignment="1">
      <alignment horizontal="right" vertical="center"/>
    </xf>
    <xf numFmtId="2" fontId="20" fillId="13" borderId="5" xfId="0" applyNumberFormat="1" applyFont="1" applyFill="1" applyBorder="1" applyAlignment="1">
      <alignment horizontal="right" vertical="center"/>
    </xf>
    <xf numFmtId="49" fontId="24" fillId="2" borderId="1" xfId="0" applyNumberFormat="1" applyFont="1" applyFill="1" applyBorder="1" applyAlignment="1">
      <alignment horizontal="center" vertical="center"/>
    </xf>
    <xf numFmtId="49" fontId="24" fillId="3" borderId="1" xfId="0" applyNumberFormat="1" applyFont="1" applyFill="1" applyBorder="1" applyAlignment="1">
      <alignment horizontal="center" vertical="center"/>
    </xf>
    <xf numFmtId="169" fontId="21" fillId="6" borderId="6" xfId="0" applyNumberFormat="1" applyFont="1" applyFill="1" applyBorder="1" applyAlignment="1">
      <alignment horizontal="right" vertical="center"/>
    </xf>
    <xf numFmtId="165" fontId="21" fillId="6" borderId="6" xfId="0" applyNumberFormat="1" applyFont="1" applyFill="1" applyBorder="1" applyAlignment="1">
      <alignment horizontal="right" vertical="center"/>
    </xf>
    <xf numFmtId="165" fontId="2" fillId="0" borderId="0" xfId="0" applyNumberFormat="1" applyFont="1" applyBorder="1"/>
    <xf numFmtId="165" fontId="23" fillId="2" borderId="7" xfId="0" applyNumberFormat="1" applyFont="1" applyFill="1" applyBorder="1" applyAlignment="1">
      <alignment horizontal="right" vertical="center"/>
    </xf>
    <xf numFmtId="165" fontId="16" fillId="6" borderId="6" xfId="0" applyNumberFormat="1" applyFont="1" applyFill="1" applyBorder="1" applyAlignment="1">
      <alignment horizontal="right" vertical="center"/>
    </xf>
    <xf numFmtId="170" fontId="21" fillId="6" borderId="6" xfId="0" applyNumberFormat="1" applyFont="1" applyFill="1" applyBorder="1" applyAlignment="1">
      <alignment horizontal="right" vertical="center"/>
    </xf>
    <xf numFmtId="171" fontId="21" fillId="6" borderId="6" xfId="0" applyNumberFormat="1" applyFont="1" applyFill="1" applyBorder="1" applyAlignment="1">
      <alignment horizontal="right" vertical="center"/>
    </xf>
    <xf numFmtId="171" fontId="16" fillId="6" borderId="6" xfId="0" applyNumberFormat="1" applyFont="1" applyFill="1" applyBorder="1" applyAlignment="1">
      <alignment horizontal="right" vertical="center"/>
    </xf>
    <xf numFmtId="171" fontId="23" fillId="2" borderId="7" xfId="0" applyNumberFormat="1" applyFont="1" applyFill="1" applyBorder="1" applyAlignment="1">
      <alignment horizontal="right" vertical="center"/>
    </xf>
    <xf numFmtId="0" fontId="2" fillId="11" borderId="0" xfId="0" applyFont="1" applyFill="1" applyBorder="1"/>
    <xf numFmtId="171" fontId="2" fillId="11" borderId="0" xfId="0" applyNumberFormat="1" applyFont="1" applyFill="1" applyBorder="1"/>
    <xf numFmtId="165" fontId="2" fillId="6" borderId="0" xfId="0" applyNumberFormat="1" applyFont="1" applyFill="1" applyBorder="1"/>
    <xf numFmtId="165" fontId="24" fillId="2" borderId="1" xfId="0" applyNumberFormat="1" applyFont="1" applyFill="1" applyBorder="1" applyAlignment="1">
      <alignment horizontal="center" vertical="center"/>
    </xf>
    <xf numFmtId="165" fontId="24" fillId="3" borderId="1" xfId="0" applyNumberFormat="1" applyFont="1" applyFill="1" applyBorder="1" applyAlignment="1">
      <alignment horizontal="center" vertical="center"/>
    </xf>
    <xf numFmtId="164" fontId="23" fillId="2" borderId="7" xfId="0" applyNumberFormat="1" applyFont="1" applyFill="1" applyBorder="1" applyAlignment="1">
      <alignment horizontal="right" vertical="center"/>
    </xf>
    <xf numFmtId="3" fontId="21" fillId="6" borderId="6" xfId="0" applyNumberFormat="1" applyFont="1" applyFill="1" applyBorder="1" applyAlignment="1">
      <alignment horizontal="right" vertical="center"/>
    </xf>
    <xf numFmtId="3" fontId="23" fillId="2" borderId="7" xfId="0" applyNumberFormat="1" applyFont="1" applyFill="1" applyBorder="1" applyAlignment="1">
      <alignment horizontal="right" vertical="center"/>
    </xf>
    <xf numFmtId="2" fontId="16" fillId="6" borderId="6" xfId="0" applyNumberFormat="1" applyFont="1" applyFill="1" applyBorder="1" applyAlignment="1">
      <alignment horizontal="right" vertical="center"/>
    </xf>
    <xf numFmtId="0" fontId="23" fillId="10" borderId="0" xfId="0" applyFont="1" applyFill="1" applyBorder="1"/>
    <xf numFmtId="0" fontId="2" fillId="14" borderId="0" xfId="0" applyFont="1" applyFill="1" applyBorder="1"/>
    <xf numFmtId="165" fontId="2" fillId="14" borderId="0" xfId="0" applyNumberFormat="1" applyFont="1" applyFill="1" applyBorder="1"/>
    <xf numFmtId="166" fontId="2" fillId="14" borderId="0" xfId="0" applyNumberFormat="1" applyFont="1" applyFill="1" applyBorder="1"/>
    <xf numFmtId="167" fontId="2" fillId="14" borderId="0" xfId="0" applyNumberFormat="1" applyFont="1" applyFill="1" applyBorder="1"/>
    <xf numFmtId="49" fontId="10" fillId="2" borderId="1" xfId="0" applyNumberFormat="1" applyFont="1" applyFill="1" applyBorder="1" applyAlignment="1">
      <alignment horizontal="center" vertical="center"/>
    </xf>
    <xf numFmtId="49" fontId="25" fillId="9" borderId="1" xfId="0" applyNumberFormat="1" applyFont="1" applyFill="1" applyBorder="1" applyAlignment="1">
      <alignment horizontal="left" vertical="center"/>
    </xf>
    <xf numFmtId="4" fontId="23" fillId="2" borderId="7" xfId="0" applyNumberFormat="1" applyFont="1" applyFill="1" applyBorder="1" applyAlignment="1">
      <alignment horizontal="right" vertical="center"/>
    </xf>
    <xf numFmtId="49" fontId="26" fillId="8" borderId="1" xfId="0" applyNumberFormat="1" applyFont="1" applyFill="1" applyBorder="1" applyAlignment="1">
      <alignment horizontal="left" vertical="center" wrapText="1"/>
    </xf>
    <xf numFmtId="164" fontId="21" fillId="6" borderId="6" xfId="0" applyNumberFormat="1" applyFont="1" applyFill="1" applyBorder="1" applyAlignment="1">
      <alignment horizontal="right" vertical="center"/>
    </xf>
    <xf numFmtId="166" fontId="2" fillId="0" borderId="0" xfId="0" applyNumberFormat="1" applyFont="1" applyBorder="1"/>
    <xf numFmtId="164" fontId="23" fillId="2" borderId="6" xfId="0" applyNumberFormat="1" applyFont="1" applyFill="1" applyBorder="1" applyAlignment="1">
      <alignment horizontal="right" vertical="center"/>
    </xf>
    <xf numFmtId="167" fontId="2" fillId="0" borderId="0" xfId="0" applyNumberFormat="1" applyFont="1" applyBorder="1"/>
    <xf numFmtId="49" fontId="21" fillId="6" borderId="6" xfId="0" applyNumberFormat="1" applyFont="1" applyFill="1" applyBorder="1" applyAlignment="1">
      <alignment horizontal="right" vertical="center"/>
    </xf>
    <xf numFmtId="49" fontId="20" fillId="5" borderId="1" xfId="0" applyNumberFormat="1" applyFont="1" applyFill="1" applyBorder="1" applyAlignment="1">
      <alignment horizontal="left" vertical="center"/>
    </xf>
    <xf numFmtId="4" fontId="20" fillId="5" borderId="5" xfId="0" applyNumberFormat="1" applyFont="1" applyFill="1" applyBorder="1" applyAlignment="1">
      <alignment horizontal="right" vertical="center"/>
    </xf>
    <xf numFmtId="49" fontId="6" fillId="9" borderId="9" xfId="0" applyNumberFormat="1" applyFont="1" applyFill="1" applyBorder="1" applyAlignment="1">
      <alignment horizontal="left" vertical="center"/>
    </xf>
    <xf numFmtId="49" fontId="7" fillId="8" borderId="9" xfId="0" applyNumberFormat="1" applyFont="1" applyFill="1" applyBorder="1" applyAlignment="1">
      <alignment horizontal="left" vertical="center"/>
    </xf>
    <xf numFmtId="49" fontId="9" fillId="8" borderId="9" xfId="0" applyNumberFormat="1" applyFont="1" applyFill="1" applyBorder="1" applyAlignment="1">
      <alignment horizontal="left" vertical="center" wrapText="1"/>
    </xf>
    <xf numFmtId="3" fontId="8" fillId="4" borderId="10" xfId="0" applyNumberFormat="1" applyFont="1" applyFill="1" applyBorder="1" applyAlignment="1">
      <alignment horizontal="right" vertical="center"/>
    </xf>
    <xf numFmtId="168" fontId="8" fillId="4" borderId="8" xfId="0" applyNumberFormat="1" applyFont="1" applyFill="1" applyAlignment="1">
      <alignment horizontal="right" vertical="center"/>
    </xf>
    <xf numFmtId="0" fontId="27" fillId="15" borderId="13" xfId="0" applyFont="1" applyFill="1" applyBorder="1" applyAlignment="1">
      <alignment horizontal="left" vertical="center"/>
    </xf>
    <xf numFmtId="0" fontId="27" fillId="16" borderId="13" xfId="0" applyFont="1" applyFill="1" applyBorder="1" applyAlignment="1">
      <alignment horizontal="left" vertical="center"/>
    </xf>
    <xf numFmtId="0" fontId="29" fillId="16" borderId="13" xfId="0" applyFont="1" applyFill="1" applyBorder="1" applyAlignment="1">
      <alignment horizontal="left" vertical="center"/>
    </xf>
    <xf numFmtId="3" fontId="28" fillId="17" borderId="14" xfId="0" applyNumberFormat="1" applyFont="1" applyFill="1" applyBorder="1" applyAlignment="1">
      <alignment horizontal="right" vertical="center"/>
    </xf>
    <xf numFmtId="10" fontId="28" fillId="17" borderId="14" xfId="0" applyNumberFormat="1" applyFont="1" applyFill="1" applyBorder="1" applyAlignment="1">
      <alignment horizontal="right" vertical="center"/>
    </xf>
    <xf numFmtId="168" fontId="28" fillId="17" borderId="14" xfId="0" applyNumberFormat="1" applyFont="1" applyFill="1" applyBorder="1" applyAlignment="1">
      <alignment horizontal="right" vertical="center"/>
    </xf>
    <xf numFmtId="49" fontId="5" fillId="3" borderId="19" xfId="0" applyNumberFormat="1" applyFont="1" applyFill="1" applyBorder="1" applyAlignment="1">
      <alignment vertical="center"/>
    </xf>
    <xf numFmtId="49" fontId="5" fillId="3" borderId="17" xfId="0" applyNumberFormat="1" applyFont="1" applyFill="1" applyBorder="1" applyAlignment="1">
      <alignment vertical="center"/>
    </xf>
    <xf numFmtId="49" fontId="5" fillId="3" borderId="18" xfId="0" applyNumberFormat="1" applyFont="1" applyFill="1" applyBorder="1" applyAlignment="1">
      <alignment vertical="center"/>
    </xf>
    <xf numFmtId="49" fontId="5" fillId="3" borderId="20" xfId="0" applyNumberFormat="1" applyFont="1" applyFill="1" applyBorder="1" applyAlignment="1">
      <alignment vertical="center"/>
    </xf>
    <xf numFmtId="49" fontId="5" fillId="3" borderId="15" xfId="0" applyNumberFormat="1" applyFont="1" applyFill="1" applyBorder="1" applyAlignment="1">
      <alignment vertical="center"/>
    </xf>
    <xf numFmtId="49" fontId="5" fillId="3" borderId="16" xfId="0" applyNumberFormat="1" applyFont="1" applyFill="1" applyBorder="1" applyAlignment="1">
      <alignment vertical="center"/>
    </xf>
    <xf numFmtId="49" fontId="6" fillId="9" borderId="19" xfId="0" applyNumberFormat="1" applyFont="1" applyFill="1" applyBorder="1" applyAlignment="1">
      <alignment horizontal="left" vertical="center"/>
    </xf>
    <xf numFmtId="0" fontId="2" fillId="12" borderId="22" xfId="0" applyFont="1" applyFill="1" applyBorder="1"/>
    <xf numFmtId="0" fontId="2" fillId="12" borderId="23" xfId="0" applyFont="1" applyFill="1" applyBorder="1"/>
    <xf numFmtId="0" fontId="2" fillId="0" borderId="24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27" fillId="15" borderId="18" xfId="0" applyFont="1" applyFill="1" applyBorder="1" applyAlignment="1">
      <alignment horizontal="left" vertical="center"/>
    </xf>
    <xf numFmtId="49" fontId="6" fillId="9" borderId="28" xfId="0" applyNumberFormat="1" applyFont="1" applyFill="1" applyBorder="1" applyAlignment="1">
      <alignment horizontal="left" vertical="center"/>
    </xf>
    <xf numFmtId="49" fontId="6" fillId="9" borderId="21" xfId="0" applyNumberFormat="1" applyFont="1" applyFill="1" applyBorder="1" applyAlignment="1">
      <alignment horizontal="left" vertical="center"/>
    </xf>
    <xf numFmtId="0" fontId="20" fillId="5" borderId="5" xfId="0" applyFont="1" applyFill="1" applyBorder="1" applyAlignment="1">
      <alignment horizontal="right" vertical="center"/>
    </xf>
    <xf numFmtId="49" fontId="31" fillId="18" borderId="1" xfId="0" applyNumberFormat="1" applyFont="1" applyFill="1" applyBorder="1" applyAlignment="1">
      <alignment horizontal="left" vertical="center"/>
    </xf>
    <xf numFmtId="49" fontId="32" fillId="18" borderId="1" xfId="0" applyNumberFormat="1" applyFont="1" applyFill="1" applyBorder="1" applyAlignment="1">
      <alignment horizontal="left" vertical="center"/>
    </xf>
    <xf numFmtId="49" fontId="5" fillId="3" borderId="9" xfId="0" applyNumberFormat="1" applyFont="1" applyFill="1" applyBorder="1" applyAlignment="1">
      <alignment horizontal="left" vertical="center"/>
    </xf>
    <xf numFmtId="0" fontId="0" fillId="0" borderId="12" xfId="0" applyBorder="1"/>
    <xf numFmtId="0" fontId="0" fillId="0" borderId="11" xfId="0" applyBorder="1"/>
    <xf numFmtId="0" fontId="1" fillId="2" borderId="8" xfId="0" applyFont="1" applyFill="1" applyAlignment="1">
      <alignment horizontal="left" vertical="center"/>
    </xf>
    <xf numFmtId="0" fontId="4" fillId="2" borderId="8" xfId="0" applyFont="1" applyFill="1" applyAlignment="1">
      <alignment horizontal="left" vertical="center"/>
    </xf>
    <xf numFmtId="49" fontId="12" fillId="6" borderId="9" xfId="0" applyNumberFormat="1" applyFont="1" applyFill="1" applyBorder="1" applyAlignment="1">
      <alignment horizontal="left" vertical="center" wrapText="1"/>
    </xf>
    <xf numFmtId="49" fontId="5" fillId="2" borderId="9" xfId="0" applyNumberFormat="1" applyFont="1" applyFill="1" applyBorder="1" applyAlignment="1">
      <alignment horizontal="left" vertical="center"/>
    </xf>
    <xf numFmtId="49" fontId="8" fillId="4" borderId="10" xfId="0" applyNumberFormat="1" applyFont="1" applyFill="1" applyBorder="1" applyAlignment="1">
      <alignment horizontal="right" vertical="center"/>
    </xf>
    <xf numFmtId="0" fontId="0" fillId="0" borderId="3" xfId="0" applyBorder="1"/>
    <xf numFmtId="0" fontId="0" fillId="0" borderId="4" xfId="0" applyBorder="1"/>
    <xf numFmtId="49" fontId="6" fillId="9" borderId="9" xfId="0" applyNumberFormat="1" applyFont="1" applyFill="1" applyBorder="1" applyAlignment="1">
      <alignment horizontal="left" vertical="center"/>
    </xf>
    <xf numFmtId="49" fontId="18" fillId="7" borderId="9" xfId="0" applyNumberFormat="1" applyFont="1" applyFill="1" applyBorder="1" applyAlignment="1">
      <alignment horizontal="left" vertical="center"/>
    </xf>
    <xf numFmtId="49" fontId="19" fillId="7" borderId="9" xfId="0" applyNumberFormat="1" applyFont="1" applyFill="1" applyBorder="1" applyAlignment="1">
      <alignment horizontal="left" vertical="center"/>
    </xf>
    <xf numFmtId="49" fontId="17" fillId="2" borderId="9" xfId="0" applyNumberFormat="1" applyFont="1" applyFill="1" applyBorder="1" applyAlignment="1">
      <alignment horizontal="left" vertical="center"/>
    </xf>
    <xf numFmtId="49" fontId="15" fillId="5" borderId="9" xfId="0" applyNumberFormat="1" applyFont="1" applyFill="1" applyBorder="1" applyAlignment="1">
      <alignment horizontal="left" vertical="center"/>
    </xf>
    <xf numFmtId="0" fontId="2" fillId="0" borderId="0" xfId="0" applyFont="1" applyBorder="1"/>
    <xf numFmtId="49" fontId="11" fillId="5" borderId="9" xfId="0" applyNumberFormat="1" applyFont="1" applyFill="1" applyBorder="1" applyAlignment="1">
      <alignment horizontal="left" vertical="center"/>
    </xf>
    <xf numFmtId="49" fontId="12" fillId="6" borderId="9" xfId="0" applyNumberFormat="1" applyFont="1" applyFill="1" applyBorder="1" applyAlignment="1">
      <alignment horizontal="left" vertical="center"/>
    </xf>
    <xf numFmtId="49" fontId="16" fillId="6" borderId="9" xfId="0" applyNumberFormat="1" applyFont="1" applyFill="1" applyBorder="1" applyAlignment="1">
      <alignment horizontal="left" vertical="center"/>
    </xf>
    <xf numFmtId="49" fontId="13" fillId="4" borderId="9" xfId="0" applyNumberFormat="1" applyFont="1" applyFill="1" applyBorder="1" applyAlignment="1">
      <alignment horizontal="left" vertical="center"/>
    </xf>
    <xf numFmtId="49" fontId="14" fillId="4" borderId="9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B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1"/>
  <sheetViews>
    <sheetView showGridLines="0" tabSelected="1" zoomScaleNormal="100" workbookViewId="0">
      <selection activeCell="B19" sqref="B19:C19"/>
    </sheetView>
  </sheetViews>
  <sheetFormatPr defaultRowHeight="14.4" x14ac:dyDescent="0.3"/>
  <cols>
    <col min="1" max="1" width="2" style="1" customWidth="1"/>
    <col min="2" max="2" width="5" style="1" customWidth="1"/>
    <col min="3" max="3" width="29.5546875" style="1" customWidth="1"/>
    <col min="4" max="4" width="28" style="1" customWidth="1"/>
    <col min="5" max="7" width="16" style="1" customWidth="1"/>
    <col min="8" max="8" width="8.88671875" style="1" customWidth="1"/>
    <col min="9" max="16384" width="8.88671875" style="1"/>
  </cols>
  <sheetData>
    <row r="1" spans="1:29" ht="15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5" customHeight="1" x14ac:dyDescent="0.3">
      <c r="A2" s="3"/>
      <c r="B2" s="96" t="s">
        <v>119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3"/>
      <c r="AA2" s="3"/>
      <c r="AB2" s="3"/>
      <c r="AC2" s="3"/>
    </row>
    <row r="3" spans="1:29" ht="15" customHeight="1" x14ac:dyDescent="0.3">
      <c r="A3" s="3"/>
      <c r="B3" s="97" t="s">
        <v>120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3"/>
      <c r="AA3" s="3"/>
      <c r="AB3" s="3"/>
      <c r="AC3" s="3"/>
    </row>
    <row r="5" spans="1:29" x14ac:dyDescent="0.3">
      <c r="B5" s="93" t="s">
        <v>121</v>
      </c>
      <c r="C5" s="94"/>
      <c r="D5" s="94"/>
      <c r="E5" s="94"/>
      <c r="F5" s="95"/>
    </row>
    <row r="6" spans="1:29" x14ac:dyDescent="0.3">
      <c r="B6" s="112" t="s">
        <v>122</v>
      </c>
      <c r="C6" s="95"/>
      <c r="D6" s="113" t="s">
        <v>123</v>
      </c>
      <c r="E6" s="94"/>
      <c r="F6" s="95"/>
    </row>
    <row r="7" spans="1:29" x14ac:dyDescent="0.3">
      <c r="B7" s="107" t="s">
        <v>124</v>
      </c>
      <c r="C7" s="95"/>
      <c r="D7" s="109" t="s">
        <v>125</v>
      </c>
      <c r="E7" s="94"/>
      <c r="F7" s="95"/>
    </row>
    <row r="8" spans="1:29" x14ac:dyDescent="0.3">
      <c r="B8" s="111" t="s">
        <v>126</v>
      </c>
      <c r="C8" s="95"/>
      <c r="D8" s="110" t="s">
        <v>127</v>
      </c>
      <c r="E8" s="94"/>
      <c r="F8" s="95"/>
    </row>
    <row r="9" spans="1:29" x14ac:dyDescent="0.3">
      <c r="B9" s="99" t="s">
        <v>128</v>
      </c>
      <c r="C9" s="95"/>
      <c r="D9" s="106" t="s">
        <v>129</v>
      </c>
      <c r="E9" s="94"/>
      <c r="F9" s="95"/>
    </row>
    <row r="10" spans="1:29" x14ac:dyDescent="0.3">
      <c r="B10" s="104" t="s">
        <v>130</v>
      </c>
      <c r="C10" s="95"/>
      <c r="D10" s="105" t="s">
        <v>131</v>
      </c>
      <c r="E10" s="94"/>
      <c r="F10" s="95"/>
    </row>
    <row r="11" spans="1:29" ht="4.95" customHeight="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spans="1:29" x14ac:dyDescent="0.3">
      <c r="B12" s="93" t="s">
        <v>132</v>
      </c>
      <c r="C12" s="94"/>
      <c r="D12" s="94"/>
      <c r="E12" s="94"/>
      <c r="F12" s="95"/>
    </row>
    <row r="13" spans="1:29" ht="21.6" customHeight="1" x14ac:dyDescent="0.3">
      <c r="B13" s="98" t="s">
        <v>133</v>
      </c>
      <c r="C13" s="94"/>
      <c r="D13" s="94"/>
      <c r="E13" s="94"/>
      <c r="F13" s="95"/>
    </row>
    <row r="14" spans="1:29" ht="21.6" customHeight="1" x14ac:dyDescent="0.3">
      <c r="B14" s="98" t="s">
        <v>134</v>
      </c>
      <c r="C14" s="94"/>
      <c r="D14" s="94"/>
      <c r="E14" s="94"/>
      <c r="F14" s="95"/>
    </row>
    <row r="15" spans="1:29" ht="21.6" customHeight="1" x14ac:dyDescent="0.3">
      <c r="B15" s="98" t="s">
        <v>135</v>
      </c>
      <c r="C15" s="94"/>
      <c r="D15" s="94"/>
      <c r="E15" s="94"/>
      <c r="F15" s="95"/>
    </row>
    <row r="16" spans="1:29" ht="12.6" customHeight="1" x14ac:dyDescent="0.3"/>
    <row r="17" spans="1:29" ht="4.95" customHeight="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spans="1:29" x14ac:dyDescent="0.3">
      <c r="B18" s="93" t="s">
        <v>136</v>
      </c>
      <c r="C18" s="94"/>
      <c r="D18" s="94"/>
      <c r="E18" s="94"/>
      <c r="F18" s="95"/>
    </row>
    <row r="19" spans="1:29" x14ac:dyDescent="0.3">
      <c r="B19" s="103" t="s">
        <v>137</v>
      </c>
      <c r="C19" s="95"/>
      <c r="D19" s="100"/>
      <c r="E19" s="101"/>
      <c r="F19" s="102"/>
    </row>
    <row r="20" spans="1:29" x14ac:dyDescent="0.3">
      <c r="B20" s="103" t="s">
        <v>138</v>
      </c>
      <c r="C20" s="95"/>
      <c r="D20" s="100"/>
      <c r="E20" s="101"/>
      <c r="F20" s="102"/>
    </row>
    <row r="21" spans="1:29" x14ac:dyDescent="0.3">
      <c r="B21" s="103" t="s">
        <v>139</v>
      </c>
      <c r="C21" s="95"/>
      <c r="D21" s="100"/>
      <c r="E21" s="101"/>
      <c r="F21" s="102"/>
    </row>
    <row r="22" spans="1:29" x14ac:dyDescent="0.3">
      <c r="B22" s="103" t="s">
        <v>354</v>
      </c>
      <c r="C22" s="95"/>
      <c r="D22" s="100"/>
      <c r="E22" s="101"/>
      <c r="F22" s="102"/>
    </row>
    <row r="23" spans="1:29" x14ac:dyDescent="0.3">
      <c r="B23" s="103" t="s">
        <v>353</v>
      </c>
      <c r="C23" s="95"/>
      <c r="D23" s="100"/>
      <c r="E23" s="101"/>
      <c r="F23" s="102"/>
    </row>
    <row r="24" spans="1:29" x14ac:dyDescent="0.3">
      <c r="B24" s="103" t="s">
        <v>140</v>
      </c>
      <c r="C24" s="95"/>
      <c r="D24" s="100"/>
      <c r="E24" s="101"/>
      <c r="F24" s="102"/>
    </row>
    <row r="25" spans="1:29" x14ac:dyDescent="0.3">
      <c r="B25" s="103" t="s">
        <v>141</v>
      </c>
      <c r="C25" s="95"/>
      <c r="D25" s="100"/>
      <c r="E25" s="101"/>
      <c r="F25" s="102"/>
    </row>
    <row r="26" spans="1:29" ht="4.95" customHeigh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29" x14ac:dyDescent="0.3">
      <c r="B27" s="93" t="s">
        <v>142</v>
      </c>
      <c r="C27" s="94"/>
      <c r="D27" s="94"/>
      <c r="E27" s="94"/>
      <c r="F27" s="95"/>
    </row>
    <row r="28" spans="1:29" ht="25.8" customHeight="1" x14ac:dyDescent="0.3">
      <c r="B28" s="99" t="s">
        <v>143</v>
      </c>
      <c r="C28" s="95"/>
      <c r="D28" s="15" t="s">
        <v>144</v>
      </c>
      <c r="E28" s="98" t="s">
        <v>145</v>
      </c>
      <c r="F28" s="95"/>
    </row>
    <row r="29" spans="1:29" ht="25.8" customHeight="1" x14ac:dyDescent="0.3">
      <c r="B29" s="99" t="s">
        <v>146</v>
      </c>
      <c r="C29" s="95"/>
      <c r="D29" s="15" t="s">
        <v>147</v>
      </c>
      <c r="E29" s="98" t="s">
        <v>148</v>
      </c>
      <c r="F29" s="95"/>
    </row>
    <row r="30" spans="1:29" ht="25.8" customHeight="1" x14ac:dyDescent="0.3">
      <c r="B30" s="99" t="s">
        <v>149</v>
      </c>
      <c r="C30" s="95"/>
      <c r="D30" s="15" t="s">
        <v>150</v>
      </c>
      <c r="E30" s="98" t="s">
        <v>151</v>
      </c>
      <c r="F30" s="95"/>
    </row>
    <row r="31" spans="1:29" ht="25.8" customHeight="1" x14ac:dyDescent="0.3">
      <c r="B31" s="99" t="s">
        <v>152</v>
      </c>
      <c r="C31" s="95"/>
      <c r="D31" s="15" t="s">
        <v>153</v>
      </c>
      <c r="E31" s="98" t="s">
        <v>154</v>
      </c>
      <c r="F31" s="95"/>
    </row>
  </sheetData>
  <mergeCells count="41">
    <mergeCell ref="B7:C7"/>
    <mergeCell ref="B2:Y2"/>
    <mergeCell ref="B22:C22"/>
    <mergeCell ref="D7:F7"/>
    <mergeCell ref="B28:C28"/>
    <mergeCell ref="B18:F18"/>
    <mergeCell ref="B12:F12"/>
    <mergeCell ref="B21:C21"/>
    <mergeCell ref="D8:F8"/>
    <mergeCell ref="B8:C8"/>
    <mergeCell ref="B6:C6"/>
    <mergeCell ref="B5:F5"/>
    <mergeCell ref="B3:Y3"/>
    <mergeCell ref="D6:F6"/>
    <mergeCell ref="E30:F30"/>
    <mergeCell ref="B24:C24"/>
    <mergeCell ref="E29:F29"/>
    <mergeCell ref="D9:F9"/>
    <mergeCell ref="B14:F14"/>
    <mergeCell ref="B13:F13"/>
    <mergeCell ref="D25:F25"/>
    <mergeCell ref="B9:C9"/>
    <mergeCell ref="B27:F27"/>
    <mergeCell ref="B23:C23"/>
    <mergeCell ref="D23:F23"/>
    <mergeCell ref="E31:F31"/>
    <mergeCell ref="B30:C30"/>
    <mergeCell ref="D24:F24"/>
    <mergeCell ref="B19:C19"/>
    <mergeCell ref="B10:C10"/>
    <mergeCell ref="B29:C29"/>
    <mergeCell ref="E28:F28"/>
    <mergeCell ref="D20:F20"/>
    <mergeCell ref="D10:F10"/>
    <mergeCell ref="D19:F19"/>
    <mergeCell ref="B25:C25"/>
    <mergeCell ref="B31:C31"/>
    <mergeCell ref="B15:F15"/>
    <mergeCell ref="B20:C20"/>
    <mergeCell ref="D22:F22"/>
    <mergeCell ref="D21:F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52"/>
  <sheetViews>
    <sheetView showGridLines="0" workbookViewId="0">
      <selection activeCell="C43" sqref="C43"/>
    </sheetView>
  </sheetViews>
  <sheetFormatPr defaultRowHeight="14.4" x14ac:dyDescent="0.3"/>
  <cols>
    <col min="1" max="1" width="2" style="1" customWidth="1"/>
    <col min="2" max="2" width="4.33203125" style="1" customWidth="1"/>
    <col min="3" max="3" width="44.88671875" style="1" bestFit="1" customWidth="1"/>
    <col min="4" max="4" width="14.6640625" style="1" customWidth="1"/>
    <col min="5" max="5" width="46.33203125" style="1" customWidth="1"/>
    <col min="6" max="6" width="77.88671875" style="1" bestFit="1" customWidth="1"/>
    <col min="7" max="7" width="8.88671875" style="1" customWidth="1"/>
    <col min="8" max="16384" width="8.88671875" style="1"/>
  </cols>
  <sheetData>
    <row r="1" spans="1:29" ht="1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B1" s="3"/>
      <c r="AC1" s="3"/>
    </row>
    <row r="2" spans="1:29" ht="15" customHeight="1" x14ac:dyDescent="0.3">
      <c r="A2" s="3"/>
      <c r="B2" s="96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3"/>
      <c r="AA2" s="3"/>
      <c r="AB2" s="3"/>
      <c r="AC2" s="3"/>
    </row>
    <row r="3" spans="1:29" ht="15" customHeight="1" x14ac:dyDescent="0.3">
      <c r="A3" s="3"/>
      <c r="B3" s="97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3"/>
      <c r="AA3" s="3"/>
      <c r="AB3" s="3"/>
      <c r="AC3" s="3"/>
    </row>
    <row r="5" spans="1:29" x14ac:dyDescent="0.3">
      <c r="B5" s="93" t="s">
        <v>2</v>
      </c>
      <c r="C5" s="94"/>
      <c r="D5" s="94"/>
      <c r="E5" s="94"/>
      <c r="F5" s="95"/>
    </row>
    <row r="6" spans="1:29" x14ac:dyDescent="0.3">
      <c r="B6" s="5" t="s">
        <v>3</v>
      </c>
      <c r="C6" s="6" t="s">
        <v>4</v>
      </c>
      <c r="D6" s="5" t="s">
        <v>5</v>
      </c>
      <c r="E6" s="7">
        <v>0</v>
      </c>
      <c r="F6" s="8" t="s">
        <v>6</v>
      </c>
    </row>
    <row r="7" spans="1:29" x14ac:dyDescent="0.3">
      <c r="B7" s="5" t="s">
        <v>7</v>
      </c>
      <c r="C7" s="6" t="s">
        <v>8</v>
      </c>
      <c r="D7" s="5" t="s">
        <v>9</v>
      </c>
      <c r="E7" s="7">
        <v>0</v>
      </c>
      <c r="F7" s="8" t="s">
        <v>10</v>
      </c>
    </row>
    <row r="8" spans="1:29" x14ac:dyDescent="0.3">
      <c r="B8" s="5" t="s">
        <v>11</v>
      </c>
      <c r="C8" s="6" t="s">
        <v>359</v>
      </c>
      <c r="D8" s="5" t="s">
        <v>12</v>
      </c>
      <c r="E8" s="7">
        <v>0</v>
      </c>
      <c r="F8" s="8" t="s">
        <v>13</v>
      </c>
    </row>
    <row r="9" spans="1:29" x14ac:dyDescent="0.3">
      <c r="B9" s="5" t="s">
        <v>14</v>
      </c>
      <c r="C9" s="6" t="s">
        <v>15</v>
      </c>
      <c r="D9" s="5" t="s">
        <v>16</v>
      </c>
      <c r="E9" s="7">
        <v>20</v>
      </c>
      <c r="F9" s="8" t="s">
        <v>17</v>
      </c>
    </row>
    <row r="10" spans="1:29" ht="24" customHeight="1" x14ac:dyDescent="0.3">
      <c r="B10" s="5" t="s">
        <v>18</v>
      </c>
      <c r="C10" s="6" t="s">
        <v>19</v>
      </c>
      <c r="D10" s="5" t="s">
        <v>20</v>
      </c>
      <c r="E10" s="7" t="s">
        <v>21</v>
      </c>
      <c r="F10" s="8" t="s">
        <v>22</v>
      </c>
    </row>
    <row r="11" spans="1:29" x14ac:dyDescent="0.3">
      <c r="B11" s="68" t="s">
        <v>23</v>
      </c>
      <c r="C11" s="69" t="s">
        <v>24</v>
      </c>
      <c r="D11" s="68" t="s">
        <v>25</v>
      </c>
      <c r="E11" s="71">
        <v>0</v>
      </c>
      <c r="F11" s="70" t="s">
        <v>26</v>
      </c>
    </row>
    <row r="12" spans="1:29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spans="1:29" x14ac:dyDescent="0.3">
      <c r="B13" s="74" t="s">
        <v>28</v>
      </c>
      <c r="C13" s="75"/>
      <c r="D13" s="75"/>
      <c r="E13" s="75"/>
      <c r="F13" s="76"/>
    </row>
    <row r="14" spans="1:29" x14ac:dyDescent="0.3">
      <c r="B14" s="10" t="s">
        <v>29</v>
      </c>
      <c r="C14" s="10" t="s">
        <v>30</v>
      </c>
      <c r="D14" s="11" t="s">
        <v>31</v>
      </c>
      <c r="E14" s="11" t="s">
        <v>32</v>
      </c>
      <c r="F14" s="11" t="s">
        <v>33</v>
      </c>
    </row>
    <row r="15" spans="1:29" x14ac:dyDescent="0.3">
      <c r="B15" s="5" t="s">
        <v>34</v>
      </c>
      <c r="C15" s="6" t="s">
        <v>35</v>
      </c>
      <c r="D15" s="7">
        <v>0</v>
      </c>
      <c r="E15" s="7">
        <v>0</v>
      </c>
      <c r="F15" s="8"/>
    </row>
    <row r="16" spans="1:29" x14ac:dyDescent="0.3">
      <c r="B16" s="5" t="s">
        <v>36</v>
      </c>
      <c r="C16" s="6" t="s">
        <v>37</v>
      </c>
      <c r="D16" s="7">
        <v>0</v>
      </c>
      <c r="E16" s="7">
        <v>0</v>
      </c>
      <c r="F16" s="8"/>
    </row>
    <row r="17" spans="1:29" x14ac:dyDescent="0.3">
      <c r="B17" s="5" t="s">
        <v>38</v>
      </c>
      <c r="C17" s="6" t="s">
        <v>39</v>
      </c>
      <c r="D17" s="7">
        <v>0</v>
      </c>
      <c r="E17" s="7">
        <v>0</v>
      </c>
      <c r="F17" s="8"/>
    </row>
    <row r="18" spans="1:29" x14ac:dyDescent="0.3">
      <c r="B18" s="5" t="s">
        <v>40</v>
      </c>
      <c r="C18" s="6" t="s">
        <v>356</v>
      </c>
      <c r="D18" s="7">
        <v>1</v>
      </c>
      <c r="E18" s="7">
        <v>0</v>
      </c>
      <c r="F18" s="8"/>
    </row>
    <row r="19" spans="1:29" x14ac:dyDescent="0.3">
      <c r="B19" s="5" t="s">
        <v>41</v>
      </c>
      <c r="C19" s="6" t="s">
        <v>42</v>
      </c>
      <c r="D19" s="7">
        <v>0</v>
      </c>
      <c r="E19" s="7">
        <v>0</v>
      </c>
      <c r="F19" s="8"/>
    </row>
    <row r="20" spans="1:29" x14ac:dyDescent="0.3">
      <c r="B20" s="5" t="s">
        <v>43</v>
      </c>
      <c r="C20" s="6" t="s">
        <v>355</v>
      </c>
      <c r="D20" s="7">
        <v>1</v>
      </c>
      <c r="E20" s="7">
        <v>0</v>
      </c>
      <c r="F20" s="8"/>
    </row>
    <row r="21" spans="1:29" x14ac:dyDescent="0.3">
      <c r="B21" s="5" t="s">
        <v>44</v>
      </c>
      <c r="C21" s="6" t="s">
        <v>45</v>
      </c>
      <c r="D21" s="7">
        <v>0</v>
      </c>
      <c r="E21" s="7">
        <v>0</v>
      </c>
      <c r="F21" s="8" t="s">
        <v>13</v>
      </c>
    </row>
    <row r="22" spans="1:29" x14ac:dyDescent="0.3">
      <c r="B22" s="5" t="s">
        <v>266</v>
      </c>
      <c r="C22" s="6" t="s">
        <v>47</v>
      </c>
      <c r="D22" s="7">
        <v>0</v>
      </c>
      <c r="E22" s="7">
        <v>0</v>
      </c>
      <c r="F22" s="8"/>
    </row>
    <row r="23" spans="1:29" x14ac:dyDescent="0.3">
      <c r="B23" s="5" t="s">
        <v>46</v>
      </c>
      <c r="C23" s="6" t="s">
        <v>49</v>
      </c>
      <c r="D23" s="7">
        <v>0</v>
      </c>
      <c r="E23" s="7">
        <v>0</v>
      </c>
      <c r="F23" s="8"/>
    </row>
    <row r="24" spans="1:29" x14ac:dyDescent="0.3">
      <c r="B24" s="5" t="s">
        <v>48</v>
      </c>
      <c r="C24" t="s">
        <v>51</v>
      </c>
      <c r="D24" s="7">
        <v>0</v>
      </c>
      <c r="E24" s="7">
        <v>0</v>
      </c>
    </row>
    <row r="25" spans="1:29" x14ac:dyDescent="0.3">
      <c r="B25" s="5" t="s">
        <v>357</v>
      </c>
      <c r="C25" s="64" t="s">
        <v>52</v>
      </c>
      <c r="D25" s="66"/>
      <c r="E25" s="66"/>
      <c r="F25" s="65"/>
    </row>
    <row r="26" spans="1:29" x14ac:dyDescent="0.3">
      <c r="B26" s="5" t="s">
        <v>50</v>
      </c>
      <c r="C26" s="6" t="s">
        <v>53</v>
      </c>
      <c r="D26" s="12" t="s">
        <v>54</v>
      </c>
      <c r="E26" s="13">
        <v>1</v>
      </c>
      <c r="F26" s="8" t="s">
        <v>55</v>
      </c>
    </row>
    <row r="27" spans="1:29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spans="1:29" x14ac:dyDescent="0.3">
      <c r="B28" s="77" t="s">
        <v>56</v>
      </c>
      <c r="C28" s="78"/>
      <c r="D28" s="78"/>
      <c r="E28" s="78"/>
      <c r="F28" s="79"/>
    </row>
    <row r="29" spans="1:29" x14ac:dyDescent="0.3">
      <c r="B29" s="5" t="s">
        <v>57</v>
      </c>
      <c r="C29" s="6" t="s">
        <v>58</v>
      </c>
      <c r="D29" s="5" t="s">
        <v>59</v>
      </c>
      <c r="E29" s="7">
        <v>0</v>
      </c>
      <c r="F29" s="8" t="s">
        <v>60</v>
      </c>
    </row>
    <row r="30" spans="1:29" x14ac:dyDescent="0.3">
      <c r="B30" s="5" t="s">
        <v>61</v>
      </c>
      <c r="C30" s="6" t="s">
        <v>62</v>
      </c>
      <c r="D30" s="5" t="s">
        <v>59</v>
      </c>
      <c r="E30" s="7">
        <v>0</v>
      </c>
      <c r="F30" s="8" t="s">
        <v>63</v>
      </c>
    </row>
    <row r="31" spans="1:29" x14ac:dyDescent="0.3">
      <c r="B31" s="5" t="s">
        <v>64</v>
      </c>
      <c r="C31" s="6" t="s">
        <v>65</v>
      </c>
      <c r="D31" s="5" t="s">
        <v>59</v>
      </c>
      <c r="E31" s="7">
        <v>0</v>
      </c>
      <c r="F31" s="8" t="s">
        <v>66</v>
      </c>
    </row>
    <row r="32" spans="1:29" x14ac:dyDescent="0.3">
      <c r="B32" s="63" t="s">
        <v>67</v>
      </c>
      <c r="C32" s="68" t="s">
        <v>68</v>
      </c>
      <c r="D32" s="68" t="s">
        <v>69</v>
      </c>
      <c r="E32" s="72">
        <v>0.18</v>
      </c>
      <c r="F32" s="68"/>
    </row>
    <row r="33" spans="1:29" x14ac:dyDescent="0.3">
      <c r="B33" s="5" t="s">
        <v>70</v>
      </c>
      <c r="C33" s="6" t="s">
        <v>71</v>
      </c>
      <c r="D33" s="5" t="s">
        <v>72</v>
      </c>
      <c r="E33" s="7">
        <v>7</v>
      </c>
      <c r="F33" s="8" t="s">
        <v>73</v>
      </c>
    </row>
    <row r="34" spans="1:29" x14ac:dyDescent="0.3">
      <c r="B34" s="63" t="s">
        <v>74</v>
      </c>
      <c r="C34" s="68" t="s">
        <v>75</v>
      </c>
      <c r="D34" s="68" t="s">
        <v>72</v>
      </c>
      <c r="E34" s="71">
        <v>1</v>
      </c>
      <c r="F34" s="8" t="s">
        <v>76</v>
      </c>
    </row>
    <row r="35" spans="1:29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spans="1:29" x14ac:dyDescent="0.3">
      <c r="B36" s="77" t="s">
        <v>77</v>
      </c>
      <c r="C36" s="78"/>
      <c r="D36" s="78"/>
      <c r="E36" s="78"/>
      <c r="F36" s="79"/>
    </row>
    <row r="37" spans="1:29" x14ac:dyDescent="0.3">
      <c r="B37" s="5" t="s">
        <v>78</v>
      </c>
      <c r="C37" s="6" t="s">
        <v>79</v>
      </c>
      <c r="D37" s="5" t="s">
        <v>80</v>
      </c>
      <c r="E37" s="7">
        <v>0</v>
      </c>
      <c r="F37" s="8"/>
    </row>
    <row r="38" spans="1:29" x14ac:dyDescent="0.3">
      <c r="B38" s="5" t="s">
        <v>81</v>
      </c>
      <c r="C38" s="6" t="s">
        <v>82</v>
      </c>
      <c r="D38" s="5" t="s">
        <v>80</v>
      </c>
      <c r="E38" s="7">
        <v>0</v>
      </c>
      <c r="F38" s="8"/>
    </row>
    <row r="39" spans="1:29" x14ac:dyDescent="0.3">
      <c r="B39" s="5" t="s">
        <v>83</v>
      </c>
      <c r="C39" s="6" t="s">
        <v>84</v>
      </c>
      <c r="D39" s="5" t="s">
        <v>80</v>
      </c>
      <c r="E39" s="7">
        <v>0</v>
      </c>
      <c r="F39" s="8"/>
    </row>
    <row r="40" spans="1:29" x14ac:dyDescent="0.3">
      <c r="B40" s="5" t="s">
        <v>85</v>
      </c>
      <c r="C40" s="6" t="s">
        <v>86</v>
      </c>
      <c r="D40" s="5" t="s">
        <v>80</v>
      </c>
      <c r="E40" s="7">
        <v>0</v>
      </c>
      <c r="F40" s="8" t="s">
        <v>87</v>
      </c>
    </row>
    <row r="41" spans="1:29" x14ac:dyDescent="0.3">
      <c r="B41" s="5" t="s">
        <v>88</v>
      </c>
      <c r="C41" s="6" t="s">
        <v>89</v>
      </c>
      <c r="D41" s="5" t="s">
        <v>80</v>
      </c>
      <c r="E41" s="7">
        <v>0</v>
      </c>
      <c r="F41" s="8"/>
    </row>
    <row r="42" spans="1:29" x14ac:dyDescent="0.3">
      <c r="B42" s="5" t="s">
        <v>90</v>
      </c>
      <c r="C42" s="6" t="s">
        <v>361</v>
      </c>
      <c r="D42" s="5" t="s">
        <v>91</v>
      </c>
      <c r="E42" s="7">
        <v>1200</v>
      </c>
      <c r="F42" s="8" t="s">
        <v>92</v>
      </c>
    </row>
    <row r="43" spans="1:29" x14ac:dyDescent="0.3">
      <c r="B43" s="5" t="s">
        <v>93</v>
      </c>
      <c r="C43" s="6" t="s">
        <v>360</v>
      </c>
      <c r="D43" s="5" t="s">
        <v>94</v>
      </c>
      <c r="E43" s="7">
        <v>500</v>
      </c>
      <c r="F43" s="8" t="s">
        <v>95</v>
      </c>
    </row>
    <row r="44" spans="1:29" x14ac:dyDescent="0.3">
      <c r="B44" s="88" t="s">
        <v>96</v>
      </c>
      <c r="C44" s="68" t="s">
        <v>97</v>
      </c>
      <c r="D44" s="68" t="s">
        <v>98</v>
      </c>
      <c r="E44" s="73">
        <v>0.8</v>
      </c>
      <c r="F44" s="68" t="s">
        <v>99</v>
      </c>
    </row>
    <row r="45" spans="1:29" x14ac:dyDescent="0.3">
      <c r="B45" s="89" t="s">
        <v>100</v>
      </c>
      <c r="C45" s="87" t="s">
        <v>101</v>
      </c>
      <c r="D45" s="5" t="s">
        <v>80</v>
      </c>
      <c r="E45" s="67"/>
      <c r="F45" s="8"/>
    </row>
    <row r="46" spans="1:29" x14ac:dyDescent="0.3">
      <c r="B46" s="108"/>
      <c r="C46" s="108"/>
      <c r="D46" s="108"/>
      <c r="E46" s="108"/>
      <c r="F46" s="108"/>
    </row>
    <row r="48" spans="1:29" x14ac:dyDescent="0.3">
      <c r="B48" s="74" t="s">
        <v>102</v>
      </c>
      <c r="C48" s="75"/>
      <c r="D48" s="75"/>
      <c r="E48" s="78"/>
      <c r="F48" s="79"/>
    </row>
    <row r="49" spans="2:6" x14ac:dyDescent="0.3">
      <c r="B49" s="5" t="s">
        <v>103</v>
      </c>
      <c r="C49" s="6" t="s">
        <v>104</v>
      </c>
      <c r="D49" s="80" t="s">
        <v>69</v>
      </c>
      <c r="E49" s="81">
        <v>0.03</v>
      </c>
      <c r="F49" s="84" t="s">
        <v>105</v>
      </c>
    </row>
    <row r="50" spans="2:6" x14ac:dyDescent="0.3">
      <c r="B50" s="5" t="s">
        <v>106</v>
      </c>
      <c r="C50" s="6" t="s">
        <v>107</v>
      </c>
      <c r="D50" s="80" t="s">
        <v>108</v>
      </c>
      <c r="E50" s="82">
        <v>0.02</v>
      </c>
      <c r="F50" s="85" t="s">
        <v>109</v>
      </c>
    </row>
    <row r="51" spans="2:6" x14ac:dyDescent="0.3">
      <c r="B51" s="5" t="s">
        <v>110</v>
      </c>
      <c r="C51" s="6" t="s">
        <v>111</v>
      </c>
      <c r="D51" s="80" t="s">
        <v>112</v>
      </c>
      <c r="E51" s="82">
        <v>0.95</v>
      </c>
      <c r="F51" s="85" t="s">
        <v>113</v>
      </c>
    </row>
    <row r="52" spans="2:6" x14ac:dyDescent="0.3">
      <c r="B52" s="5" t="s">
        <v>114</v>
      </c>
      <c r="C52" s="6" t="s">
        <v>115</v>
      </c>
      <c r="D52" s="80" t="s">
        <v>116</v>
      </c>
      <c r="E52" s="83" t="s">
        <v>117</v>
      </c>
      <c r="F52" s="86" t="s">
        <v>118</v>
      </c>
    </row>
  </sheetData>
  <mergeCells count="4">
    <mergeCell ref="B46:F46"/>
    <mergeCell ref="B2:Y2"/>
    <mergeCell ref="B5:F5"/>
    <mergeCell ref="B3:Y3"/>
  </mergeCells>
  <phoneticPr fontId="30" type="noConversion"/>
  <dataValidations disablePrompts="1" count="1">
    <dataValidation type="list" allowBlank="1" sqref="E10" xr:uid="{00000000-0002-0000-0100-000000000000}">
      <formula1>"1= Isolated, 2= Inter-connected"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29"/>
  <sheetViews>
    <sheetView showGridLines="0" workbookViewId="0">
      <selection activeCell="E23" sqref="E23"/>
    </sheetView>
  </sheetViews>
  <sheetFormatPr defaultRowHeight="14.4" x14ac:dyDescent="0.3"/>
  <cols>
    <col min="1" max="1" width="2" style="1" customWidth="1"/>
    <col min="2" max="2" width="6.6640625" style="1" bestFit="1" customWidth="1"/>
    <col min="3" max="3" width="56" style="1" bestFit="1" customWidth="1"/>
    <col min="4" max="4" width="7.109375" style="1" bestFit="1" customWidth="1"/>
    <col min="5" max="5" width="8.109375" style="1" customWidth="1"/>
    <col min="6" max="6" width="55.21875" style="1" customWidth="1"/>
    <col min="7" max="7" width="8.88671875" style="1" customWidth="1"/>
    <col min="8" max="16384" width="8.88671875" style="1"/>
  </cols>
  <sheetData>
    <row r="1" spans="1:29" ht="1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B1" s="3"/>
      <c r="AC1" s="3"/>
    </row>
    <row r="2" spans="1:29" ht="15" customHeight="1" x14ac:dyDescent="0.3">
      <c r="A2" s="3"/>
      <c r="B2" s="96" t="s">
        <v>155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3"/>
      <c r="AA2" s="3"/>
      <c r="AB2" s="3"/>
      <c r="AC2" s="3"/>
    </row>
    <row r="3" spans="1:29" ht="15" customHeight="1" x14ac:dyDescent="0.3">
      <c r="A3" s="3"/>
      <c r="B3" s="97" t="s">
        <v>156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3"/>
      <c r="AA3" s="3"/>
      <c r="AB3" s="3"/>
      <c r="AC3" s="3"/>
    </row>
    <row r="5" spans="1:29" x14ac:dyDescent="0.3">
      <c r="B5" s="93" t="s">
        <v>157</v>
      </c>
      <c r="C5" s="94"/>
      <c r="D5" s="94"/>
      <c r="E5" s="94"/>
      <c r="F5" s="95"/>
    </row>
    <row r="6" spans="1:29" x14ac:dyDescent="0.3">
      <c r="B6" s="5" t="s">
        <v>158</v>
      </c>
      <c r="C6" s="6" t="s">
        <v>159</v>
      </c>
      <c r="D6" s="5" t="s">
        <v>69</v>
      </c>
      <c r="E6" s="17">
        <v>0.22</v>
      </c>
      <c r="F6" s="8" t="s">
        <v>160</v>
      </c>
    </row>
    <row r="7" spans="1:29" x14ac:dyDescent="0.3">
      <c r="B7" s="5" t="s">
        <v>161</v>
      </c>
      <c r="C7" s="6" t="s">
        <v>162</v>
      </c>
      <c r="D7" s="5" t="s">
        <v>69</v>
      </c>
      <c r="E7" s="17">
        <v>0.32</v>
      </c>
      <c r="F7" s="8" t="s">
        <v>163</v>
      </c>
    </row>
    <row r="8" spans="1:29" x14ac:dyDescent="0.3">
      <c r="B8" s="5" t="s">
        <v>164</v>
      </c>
      <c r="C8" s="6" t="s">
        <v>165</v>
      </c>
      <c r="D8" s="5" t="s">
        <v>166</v>
      </c>
      <c r="E8" s="18">
        <v>1.35</v>
      </c>
      <c r="F8" s="8"/>
    </row>
    <row r="9" spans="1:29" x14ac:dyDescent="0.3">
      <c r="B9" s="5" t="s">
        <v>167</v>
      </c>
      <c r="C9" s="6" t="s">
        <v>168</v>
      </c>
      <c r="D9" s="5" t="s">
        <v>98</v>
      </c>
      <c r="E9" s="17">
        <v>0.32</v>
      </c>
      <c r="F9" s="8" t="s">
        <v>169</v>
      </c>
    </row>
    <row r="10" spans="1:29" x14ac:dyDescent="0.3">
      <c r="B10" s="5" t="s">
        <v>170</v>
      </c>
      <c r="C10" s="6" t="s">
        <v>171</v>
      </c>
      <c r="D10" s="5" t="s">
        <v>98</v>
      </c>
      <c r="E10" s="19">
        <v>0.7</v>
      </c>
      <c r="F10" s="8"/>
    </row>
    <row r="11" spans="1:29" x14ac:dyDescent="0.3">
      <c r="B11" s="5" t="s">
        <v>172</v>
      </c>
      <c r="C11" s="20" t="s">
        <v>173</v>
      </c>
      <c r="D11" s="5" t="s">
        <v>98</v>
      </c>
      <c r="E11" s="21">
        <f>1-E10</f>
        <v>0.30000000000000004</v>
      </c>
      <c r="F11" s="8"/>
    </row>
    <row r="12" spans="1:29" x14ac:dyDescent="0.3">
      <c r="B12" s="5" t="s">
        <v>174</v>
      </c>
      <c r="C12" s="20" t="s">
        <v>175</v>
      </c>
      <c r="D12" s="5" t="s">
        <v>112</v>
      </c>
      <c r="E12" s="21">
        <f>E7-E6</f>
        <v>0.1</v>
      </c>
      <c r="F12" s="8"/>
    </row>
    <row r="13" spans="1:29" x14ac:dyDescent="0.3">
      <c r="B13" s="5" t="s">
        <v>176</v>
      </c>
      <c r="C13" s="20" t="s">
        <v>177</v>
      </c>
      <c r="D13" s="5" t="s">
        <v>112</v>
      </c>
      <c r="E13" s="22">
        <f>E6+E8*E12</f>
        <v>0.35499999999999998</v>
      </c>
      <c r="F13" s="8"/>
    </row>
    <row r="14" spans="1:29" x14ac:dyDescent="0.3">
      <c r="B14" s="5" t="s">
        <v>178</v>
      </c>
      <c r="C14" s="20" t="s">
        <v>179</v>
      </c>
      <c r="D14" s="5" t="s">
        <v>112</v>
      </c>
      <c r="E14" s="21">
        <f>'DEVELOPER INPUTS'!E30*(1-E9)</f>
        <v>0</v>
      </c>
      <c r="F14" s="8" t="s">
        <v>180</v>
      </c>
    </row>
    <row r="15" spans="1:29" x14ac:dyDescent="0.3">
      <c r="B15" s="14" t="s">
        <v>181</v>
      </c>
      <c r="C15" s="14" t="s">
        <v>182</v>
      </c>
      <c r="D15" s="23" t="s">
        <v>112</v>
      </c>
      <c r="E15" s="24">
        <f>E10*E14+E11*E13</f>
        <v>0.10650000000000001</v>
      </c>
      <c r="F15"/>
    </row>
    <row r="17" spans="1:29" x14ac:dyDescent="0.3">
      <c r="B17" s="93" t="s">
        <v>183</v>
      </c>
      <c r="C17" s="94"/>
      <c r="D17" s="94"/>
      <c r="E17" s="94"/>
      <c r="F17" s="95"/>
    </row>
    <row r="18" spans="1:29" x14ac:dyDescent="0.3">
      <c r="B18" s="5" t="s">
        <v>184</v>
      </c>
      <c r="C18" s="6" t="s">
        <v>185</v>
      </c>
      <c r="D18" s="5" t="s">
        <v>98</v>
      </c>
      <c r="E18" s="17">
        <v>1.4999999999999999E-2</v>
      </c>
      <c r="F18" s="8" t="s">
        <v>186</v>
      </c>
    </row>
    <row r="19" spans="1:29" x14ac:dyDescent="0.3">
      <c r="B19" s="5" t="s">
        <v>187</v>
      </c>
      <c r="C19" s="6" t="s">
        <v>188</v>
      </c>
      <c r="D19" s="5" t="s">
        <v>98</v>
      </c>
      <c r="E19" s="19">
        <v>7.0000000000000007E-2</v>
      </c>
      <c r="F19" s="8" t="s">
        <v>189</v>
      </c>
    </row>
    <row r="20" spans="1:29" x14ac:dyDescent="0.3">
      <c r="B20" s="5" t="s">
        <v>190</v>
      </c>
      <c r="C20" s="6" t="s">
        <v>191</v>
      </c>
      <c r="D20" s="5" t="s">
        <v>192</v>
      </c>
      <c r="E20" s="19">
        <v>0.03</v>
      </c>
      <c r="F20" s="8" t="s">
        <v>193</v>
      </c>
    </row>
    <row r="21" spans="1:29" ht="24" customHeight="1" x14ac:dyDescent="0.3">
      <c r="B21" s="5" t="s">
        <v>194</v>
      </c>
      <c r="C21" s="6" t="s">
        <v>195</v>
      </c>
      <c r="D21" s="5" t="s">
        <v>72</v>
      </c>
      <c r="E21" s="25">
        <v>18</v>
      </c>
      <c r="F21" s="8" t="s">
        <v>196</v>
      </c>
    </row>
    <row r="22" spans="1:29" x14ac:dyDescent="0.3">
      <c r="B22" s="5" t="s">
        <v>197</v>
      </c>
      <c r="C22" s="6" t="s">
        <v>198</v>
      </c>
      <c r="D22" s="5" t="s">
        <v>199</v>
      </c>
      <c r="E22" s="26">
        <v>1.3</v>
      </c>
      <c r="F22" s="8" t="s">
        <v>358</v>
      </c>
    </row>
    <row r="23" spans="1:29" x14ac:dyDescent="0.3">
      <c r="B23" s="5" t="s">
        <v>200</v>
      </c>
      <c r="C23" s="6" t="s">
        <v>201</v>
      </c>
      <c r="D23" s="5" t="s">
        <v>69</v>
      </c>
      <c r="E23" s="19">
        <v>0.15</v>
      </c>
      <c r="F23" s="8" t="s">
        <v>202</v>
      </c>
    </row>
    <row r="24" spans="1:29" x14ac:dyDescent="0.3">
      <c r="B24" s="5" t="s">
        <v>203</v>
      </c>
      <c r="C24" s="6" t="s">
        <v>204</v>
      </c>
      <c r="D24" s="5" t="s">
        <v>69</v>
      </c>
      <c r="E24" s="19">
        <v>0.15</v>
      </c>
      <c r="F24" s="8" t="s">
        <v>205</v>
      </c>
    </row>
    <row r="25" spans="1:29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spans="1:29" x14ac:dyDescent="0.3">
      <c r="B26" s="93" t="s">
        <v>206</v>
      </c>
      <c r="C26" s="94"/>
      <c r="D26" s="94"/>
      <c r="E26" s="94"/>
      <c r="F26" s="95"/>
    </row>
    <row r="27" spans="1:29" x14ac:dyDescent="0.3">
      <c r="B27" s="5" t="s">
        <v>207</v>
      </c>
      <c r="C27" s="6" t="s">
        <v>208</v>
      </c>
      <c r="D27" s="5" t="s">
        <v>16</v>
      </c>
      <c r="E27" s="25">
        <v>5</v>
      </c>
      <c r="F27" s="8" t="s">
        <v>209</v>
      </c>
    </row>
    <row r="28" spans="1:29" x14ac:dyDescent="0.3">
      <c r="B28" s="5" t="s">
        <v>210</v>
      </c>
      <c r="C28" s="6" t="s">
        <v>211</v>
      </c>
      <c r="D28" s="5" t="s">
        <v>212</v>
      </c>
      <c r="E28" s="25">
        <v>6</v>
      </c>
      <c r="F28" s="8" t="s">
        <v>213</v>
      </c>
    </row>
    <row r="29" spans="1:29" x14ac:dyDescent="0.3">
      <c r="B29" s="5" t="s">
        <v>214</v>
      </c>
      <c r="C29" s="6" t="s">
        <v>215</v>
      </c>
      <c r="D29" s="5" t="s">
        <v>216</v>
      </c>
      <c r="E29" s="90">
        <v>2026</v>
      </c>
      <c r="F29" s="8"/>
    </row>
  </sheetData>
  <mergeCells count="5">
    <mergeCell ref="B2:Y2"/>
    <mergeCell ref="B5:F5"/>
    <mergeCell ref="B3:Y3"/>
    <mergeCell ref="B17:F17"/>
    <mergeCell ref="B26:F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73"/>
  <sheetViews>
    <sheetView showGridLines="0" topLeftCell="A31" workbookViewId="0">
      <selection activeCell="A70" sqref="A70:XFD70"/>
    </sheetView>
  </sheetViews>
  <sheetFormatPr defaultRowHeight="14.4" x14ac:dyDescent="0.3"/>
  <cols>
    <col min="1" max="1" width="2" style="1" customWidth="1"/>
    <col min="2" max="2" width="51.77734375" style="1" customWidth="1"/>
    <col min="3" max="3" width="54.21875" style="1" bestFit="1" customWidth="1"/>
    <col min="4" max="4" width="6.33203125" style="1" bestFit="1" customWidth="1"/>
    <col min="5" max="5" width="8.88671875" style="1" customWidth="1"/>
    <col min="6" max="6" width="6.77734375" style="1" customWidth="1"/>
    <col min="7" max="7" width="6.88671875" style="1" customWidth="1"/>
    <col min="8" max="8" width="28.5546875" style="1" customWidth="1"/>
    <col min="9" max="26" width="6.88671875" style="1" customWidth="1"/>
    <col min="27" max="27" width="8.88671875" style="1" customWidth="1"/>
    <col min="28" max="16384" width="8.88671875" style="1"/>
  </cols>
  <sheetData>
    <row r="1" spans="1:29" ht="1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B1" s="3"/>
      <c r="AC1" s="3"/>
    </row>
    <row r="2" spans="1:29" ht="15" customHeight="1" x14ac:dyDescent="0.3">
      <c r="A2" s="3"/>
      <c r="B2" s="96" t="s">
        <v>217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3"/>
      <c r="AA2" s="3"/>
      <c r="AB2" s="3"/>
      <c r="AC2" s="3"/>
    </row>
    <row r="3" spans="1:29" ht="15" customHeight="1" x14ac:dyDescent="0.3">
      <c r="A3" s="3"/>
      <c r="B3" s="97" t="s">
        <v>218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3"/>
      <c r="AA3" s="3"/>
      <c r="AB3" s="3"/>
      <c r="AC3" s="3"/>
    </row>
    <row r="5" spans="1:29" x14ac:dyDescent="0.3">
      <c r="B5" s="5" t="s">
        <v>29</v>
      </c>
      <c r="C5" s="4" t="s">
        <v>219</v>
      </c>
      <c r="D5" s="5" t="s">
        <v>220</v>
      </c>
      <c r="G5" s="27" t="s">
        <v>221</v>
      </c>
      <c r="H5" s="27" t="s">
        <v>222</v>
      </c>
      <c r="I5" s="27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27" t="s">
        <v>228</v>
      </c>
      <c r="O5" s="27" t="s">
        <v>229</v>
      </c>
      <c r="P5" s="27" t="s">
        <v>230</v>
      </c>
      <c r="Q5" s="28" t="s">
        <v>231</v>
      </c>
      <c r="R5" s="28" t="s">
        <v>232</v>
      </c>
      <c r="S5" s="28" t="s">
        <v>233</v>
      </c>
      <c r="T5" s="28" t="s">
        <v>234</v>
      </c>
      <c r="U5" s="28" t="s">
        <v>235</v>
      </c>
      <c r="V5" s="28" t="s">
        <v>236</v>
      </c>
      <c r="W5" s="28" t="s">
        <v>237</v>
      </c>
      <c r="X5" s="28" t="s">
        <v>238</v>
      </c>
      <c r="Y5" s="28" t="s">
        <v>239</v>
      </c>
      <c r="Z5" s="28" t="s">
        <v>240</v>
      </c>
    </row>
    <row r="6" spans="1:29" x14ac:dyDescent="0.3">
      <c r="B6" s="93" t="s">
        <v>241</v>
      </c>
      <c r="C6" s="94"/>
      <c r="D6" s="94"/>
      <c r="E6" s="95"/>
    </row>
    <row r="7" spans="1:29" x14ac:dyDescent="0.3">
      <c r="B7" s="5" t="s">
        <v>242</v>
      </c>
      <c r="C7" s="20" t="s">
        <v>243</v>
      </c>
      <c r="D7" s="5" t="s">
        <v>59</v>
      </c>
      <c r="G7" s="30">
        <f>'DEVELOPER INPUTS'!D15*'DEVELOPER INPUTS'!E15+'DEVELOPER INPUTS'!D16*'DEVELOPER INPUTS'!E16+'DEVELOPER INPUTS'!D17*'DEVELOPER INPUTS'!E17+'DEVELOPER INPUTS'!D18*'DEVELOPER INPUTS'!E18</f>
        <v>0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spans="1:29" x14ac:dyDescent="0.3">
      <c r="B8" s="5" t="s">
        <v>3</v>
      </c>
      <c r="C8" s="20" t="s">
        <v>244</v>
      </c>
      <c r="D8" s="5" t="s">
        <v>59</v>
      </c>
      <c r="G8" s="30">
        <f>'DEVELOPER INPUTS'!D19*'DEVELOPER INPUTS'!E19+'DEVELOPER INPUTS'!D20*'DEVELOPER INPUTS'!E20</f>
        <v>0</v>
      </c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spans="1:29" x14ac:dyDescent="0.3">
      <c r="B9" s="5" t="s">
        <v>7</v>
      </c>
      <c r="C9" s="20" t="s">
        <v>245</v>
      </c>
      <c r="D9" s="5" t="s">
        <v>59</v>
      </c>
      <c r="G9" s="30">
        <f>'DEVELOPER INPUTS'!D21*'DEVELOPER INPUTS'!E21</f>
        <v>0</v>
      </c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spans="1:29" x14ac:dyDescent="0.3">
      <c r="B10" s="5" t="s">
        <v>11</v>
      </c>
      <c r="C10" s="20" t="s">
        <v>246</v>
      </c>
      <c r="D10" s="5" t="s">
        <v>59</v>
      </c>
      <c r="G10" s="30">
        <f>'DEVELOPER INPUTS'!D22*'DEVELOPER INPUTS'!E22+'DEVELOPER INPUTS'!D23*'DEVELOPER INPUTS'!E23+'DEVELOPER INPUTS'!D24*'DEVELOPER INPUTS'!E24</f>
        <v>0</v>
      </c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spans="1:29" x14ac:dyDescent="0.3">
      <c r="B11" s="5" t="s">
        <v>14</v>
      </c>
      <c r="C11" s="20" t="s">
        <v>247</v>
      </c>
      <c r="D11" s="5" t="s">
        <v>59</v>
      </c>
      <c r="G11" s="30">
        <f>(G7+G8+G9+G10)*'DEVELOPER INPUTS'!E26</f>
        <v>0</v>
      </c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9" x14ac:dyDescent="0.3">
      <c r="B12" s="14" t="s">
        <v>18</v>
      </c>
      <c r="C12" s="14" t="s">
        <v>248</v>
      </c>
      <c r="D12" s="23" t="s">
        <v>59</v>
      </c>
      <c r="G12" s="32">
        <f>G7+G8+G9+G10+G11</f>
        <v>0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1:29" x14ac:dyDescent="0.3">
      <c r="B13" s="5" t="s">
        <v>23</v>
      </c>
      <c r="C13" s="20" t="s">
        <v>249</v>
      </c>
      <c r="D13" s="5" t="s">
        <v>59</v>
      </c>
      <c r="G13" s="30">
        <f>'DEVELOPER INPUTS'!E29</f>
        <v>0</v>
      </c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9" x14ac:dyDescent="0.3">
      <c r="B14" s="14" t="s">
        <v>27</v>
      </c>
      <c r="C14" s="14" t="s">
        <v>251</v>
      </c>
      <c r="D14" s="23" t="s">
        <v>59</v>
      </c>
      <c r="G14" s="32">
        <f>G12-G13</f>
        <v>0</v>
      </c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spans="1:29" x14ac:dyDescent="0.3">
      <c r="B15" s="5" t="s">
        <v>250</v>
      </c>
      <c r="C15" s="20" t="s">
        <v>253</v>
      </c>
      <c r="D15" s="5" t="s">
        <v>80</v>
      </c>
      <c r="G15" s="33">
        <f>IF(1&lt;='DEVELOPER INPUTS'!$E$34,'DEVELOPER INPUTS'!$E$31*'DEVELOPER INPUTS'!$E$32,IF(1&lt;='DEVELOPER INPUTS'!$E$33,IFERROR(PMT('DEVELOPER INPUTS'!$E$32,'DEVELOPER INPUTS'!$E$33-'DEVELOPER INPUTS'!$E$34,-'DEVELOPER INPUTS'!$E$31),0),0))</f>
        <v>0</v>
      </c>
      <c r="H15" s="31">
        <f>IF(2&lt;='DEVELOPER INPUTS'!$E$34,'DEVELOPER INPUTS'!$E$31*'DEVELOPER INPUTS'!$E$32,IF(2&lt;='DEVELOPER INPUTS'!$E$33,IFERROR(PMT('DEVELOPER INPUTS'!$E$32,'DEVELOPER INPUTS'!$E$33-'DEVELOPER INPUTS'!$E$34,-'DEVELOPER INPUTS'!$E$31),0),0))</f>
        <v>0</v>
      </c>
      <c r="I15" s="31">
        <f>IF(3&lt;='DEVELOPER INPUTS'!$E$34,'DEVELOPER INPUTS'!$E$31*'DEVELOPER INPUTS'!$E$32,IF(3&lt;='DEVELOPER INPUTS'!$E$33,IFERROR(PMT('DEVELOPER INPUTS'!$E$32,'DEVELOPER INPUTS'!$E$33-'DEVELOPER INPUTS'!$E$34,-'DEVELOPER INPUTS'!$E$31),0),0))</f>
        <v>0</v>
      </c>
      <c r="J15" s="31">
        <f>IF(4&lt;='DEVELOPER INPUTS'!$E$34,'DEVELOPER INPUTS'!$E$31*'DEVELOPER INPUTS'!$E$32,IF(4&lt;='DEVELOPER INPUTS'!$E$33,IFERROR(PMT('DEVELOPER INPUTS'!$E$32,'DEVELOPER INPUTS'!$E$33-'DEVELOPER INPUTS'!$E$34,-'DEVELOPER INPUTS'!$E$31),0),0))</f>
        <v>0</v>
      </c>
      <c r="K15" s="31">
        <f>IF(5&lt;='DEVELOPER INPUTS'!$E$34,'DEVELOPER INPUTS'!$E$31*'DEVELOPER INPUTS'!$E$32,IF(5&lt;='DEVELOPER INPUTS'!$E$33,IFERROR(PMT('DEVELOPER INPUTS'!$E$32,'DEVELOPER INPUTS'!$E$33-'DEVELOPER INPUTS'!$E$34,-'DEVELOPER INPUTS'!$E$31),0),0))</f>
        <v>0</v>
      </c>
      <c r="L15" s="31">
        <f>IF(6&lt;='DEVELOPER INPUTS'!$E$34,'DEVELOPER INPUTS'!$E$31*'DEVELOPER INPUTS'!$E$32,IF(6&lt;='DEVELOPER INPUTS'!$E$33,IFERROR(PMT('DEVELOPER INPUTS'!$E$32,'DEVELOPER INPUTS'!$E$33-'DEVELOPER INPUTS'!$E$34,-'DEVELOPER INPUTS'!$E$31),0),0))</f>
        <v>0</v>
      </c>
      <c r="M15" s="31">
        <f>IF(7&lt;='DEVELOPER INPUTS'!$E$34,'DEVELOPER INPUTS'!$E$31*'DEVELOPER INPUTS'!$E$32,IF(7&lt;='DEVELOPER INPUTS'!$E$33,IFERROR(PMT('DEVELOPER INPUTS'!$E$32,'DEVELOPER INPUTS'!$E$33-'DEVELOPER INPUTS'!$E$34,-'DEVELOPER INPUTS'!$E$31),0),0))</f>
        <v>0</v>
      </c>
      <c r="N15" s="31">
        <f>IF(8&lt;='DEVELOPER INPUTS'!$E$34,'DEVELOPER INPUTS'!$E$31*'DEVELOPER INPUTS'!$E$32,IF(8&lt;='DEVELOPER INPUTS'!$E$33,IFERROR(PMT('DEVELOPER INPUTS'!$E$32,'DEVELOPER INPUTS'!$E$33-'DEVELOPER INPUTS'!$E$34,-'DEVELOPER INPUTS'!$E$31),0),0))</f>
        <v>0</v>
      </c>
      <c r="O15" s="31">
        <f>IF(9&lt;='DEVELOPER INPUTS'!$E$34,'DEVELOPER INPUTS'!$E$31*'DEVELOPER INPUTS'!$E$32,IF(9&lt;='DEVELOPER INPUTS'!$E$33,IFERROR(PMT('DEVELOPER INPUTS'!$E$32,'DEVELOPER INPUTS'!$E$33-'DEVELOPER INPUTS'!$E$34,-'DEVELOPER INPUTS'!$E$31),0),0))</f>
        <v>0</v>
      </c>
      <c r="P15" s="31">
        <f>IF(10&lt;='DEVELOPER INPUTS'!$E$34,'DEVELOPER INPUTS'!$E$31*'DEVELOPER INPUTS'!$E$32,IF(10&lt;='DEVELOPER INPUTS'!$E$33,IFERROR(PMT('DEVELOPER INPUTS'!$E$32,'DEVELOPER INPUTS'!$E$33-'DEVELOPER INPUTS'!$E$34,-'DEVELOPER INPUTS'!$E$31),0),0))</f>
        <v>0</v>
      </c>
      <c r="Q15" s="31">
        <f>IF(11&lt;='DEVELOPER INPUTS'!$E$34,'DEVELOPER INPUTS'!$E$31*'DEVELOPER INPUTS'!$E$32,IF(11&lt;='DEVELOPER INPUTS'!$E$33,IFERROR(PMT('DEVELOPER INPUTS'!$E$32,'DEVELOPER INPUTS'!$E$33-'DEVELOPER INPUTS'!$E$34,-'DEVELOPER INPUTS'!$E$31),0),0))</f>
        <v>0</v>
      </c>
      <c r="R15" s="31">
        <f>IF(12&lt;='DEVELOPER INPUTS'!$E$34,'DEVELOPER INPUTS'!$E$31*'DEVELOPER INPUTS'!$E$32,IF(12&lt;='DEVELOPER INPUTS'!$E$33,IFERROR(PMT('DEVELOPER INPUTS'!$E$32,'DEVELOPER INPUTS'!$E$33-'DEVELOPER INPUTS'!$E$34,-'DEVELOPER INPUTS'!$E$31),0),0))</f>
        <v>0</v>
      </c>
      <c r="S15" s="31">
        <f>IF(13&lt;='DEVELOPER INPUTS'!$E$34,'DEVELOPER INPUTS'!$E$31*'DEVELOPER INPUTS'!$E$32,IF(13&lt;='DEVELOPER INPUTS'!$E$33,IFERROR(PMT('DEVELOPER INPUTS'!$E$32,'DEVELOPER INPUTS'!$E$33-'DEVELOPER INPUTS'!$E$34,-'DEVELOPER INPUTS'!$E$31),0),0))</f>
        <v>0</v>
      </c>
      <c r="T15" s="31">
        <f>IF(14&lt;='DEVELOPER INPUTS'!$E$34,'DEVELOPER INPUTS'!$E$31*'DEVELOPER INPUTS'!$E$32,IF(14&lt;='DEVELOPER INPUTS'!$E$33,IFERROR(PMT('DEVELOPER INPUTS'!$E$32,'DEVELOPER INPUTS'!$E$33-'DEVELOPER INPUTS'!$E$34,-'DEVELOPER INPUTS'!$E$31),0),0))</f>
        <v>0</v>
      </c>
      <c r="U15" s="31">
        <f>IF(15&lt;='DEVELOPER INPUTS'!$E$34,'DEVELOPER INPUTS'!$E$31*'DEVELOPER INPUTS'!$E$32,IF(15&lt;='DEVELOPER INPUTS'!$E$33,IFERROR(PMT('DEVELOPER INPUTS'!$E$32,'DEVELOPER INPUTS'!$E$33-'DEVELOPER INPUTS'!$E$34,-'DEVELOPER INPUTS'!$E$31),0),0))</f>
        <v>0</v>
      </c>
      <c r="V15" s="31">
        <f>IF(16&lt;='DEVELOPER INPUTS'!$E$34,'DEVELOPER INPUTS'!$E$31*'DEVELOPER INPUTS'!$E$32,IF(16&lt;='DEVELOPER INPUTS'!$E$33,IFERROR(PMT('DEVELOPER INPUTS'!$E$32,'DEVELOPER INPUTS'!$E$33-'DEVELOPER INPUTS'!$E$34,-'DEVELOPER INPUTS'!$E$31),0),0))</f>
        <v>0</v>
      </c>
      <c r="W15" s="31">
        <f>IF(17&lt;='DEVELOPER INPUTS'!$E$34,'DEVELOPER INPUTS'!$E$31*'DEVELOPER INPUTS'!$E$32,IF(17&lt;='DEVELOPER INPUTS'!$E$33,IFERROR(PMT('DEVELOPER INPUTS'!$E$32,'DEVELOPER INPUTS'!$E$33-'DEVELOPER INPUTS'!$E$34,-'DEVELOPER INPUTS'!$E$31),0),0))</f>
        <v>0</v>
      </c>
      <c r="X15" s="31">
        <f>IF(18&lt;='DEVELOPER INPUTS'!$E$34,'DEVELOPER INPUTS'!$E$31*'DEVELOPER INPUTS'!$E$32,IF(18&lt;='DEVELOPER INPUTS'!$E$33,IFERROR(PMT('DEVELOPER INPUTS'!$E$32,'DEVELOPER INPUTS'!$E$33-'DEVELOPER INPUTS'!$E$34,-'DEVELOPER INPUTS'!$E$31),0),0))</f>
        <v>0</v>
      </c>
      <c r="Y15" s="31">
        <f>IF(19&lt;='DEVELOPER INPUTS'!$E$34,'DEVELOPER INPUTS'!$E$31*'DEVELOPER INPUTS'!$E$32,IF(19&lt;='DEVELOPER INPUTS'!$E$33,IFERROR(PMT('DEVELOPER INPUTS'!$E$32,'DEVELOPER INPUTS'!$E$33-'DEVELOPER INPUTS'!$E$34,-'DEVELOPER INPUTS'!$E$31),0),0))</f>
        <v>0</v>
      </c>
      <c r="Z15" s="31">
        <f>IF(20&lt;='DEVELOPER INPUTS'!$E$34,'DEVELOPER INPUTS'!$E$31*'DEVELOPER INPUTS'!$E$32,IF(20&lt;='DEVELOPER INPUTS'!$E$33,IFERROR(PMT('DEVELOPER INPUTS'!$E$32,'DEVELOPER INPUTS'!$E$33-'DEVELOPER INPUTS'!$E$34,-'DEVELOPER INPUTS'!$E$31),0),0))</f>
        <v>0</v>
      </c>
    </row>
    <row r="16" spans="1:29" x14ac:dyDescent="0.3">
      <c r="B16" s="5" t="s">
        <v>252</v>
      </c>
      <c r="C16" s="20" t="s">
        <v>254</v>
      </c>
      <c r="D16" s="5" t="s">
        <v>59</v>
      </c>
      <c r="G16" s="33">
        <f>'DEVELOPER INPUTS'!E29+'DEVELOPER INPUTS'!E30+'DEVELOPER INPUTS'!E31-G12</f>
        <v>0</v>
      </c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8" spans="2:26" x14ac:dyDescent="0.3">
      <c r="B18" s="93" t="s">
        <v>255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5"/>
    </row>
    <row r="19" spans="2:26" x14ac:dyDescent="0.3">
      <c r="B19" s="91" t="s">
        <v>29</v>
      </c>
      <c r="C19" s="92" t="s">
        <v>256</v>
      </c>
      <c r="D19" s="91" t="s">
        <v>220</v>
      </c>
      <c r="G19" s="27" t="s">
        <v>221</v>
      </c>
      <c r="H19" s="27" t="s">
        <v>222</v>
      </c>
      <c r="I19" s="27" t="s">
        <v>223</v>
      </c>
      <c r="J19" s="27" t="s">
        <v>224</v>
      </c>
      <c r="K19" s="27" t="s">
        <v>225</v>
      </c>
      <c r="L19" s="27" t="s">
        <v>226</v>
      </c>
      <c r="M19" s="27" t="s">
        <v>227</v>
      </c>
      <c r="N19" s="27" t="s">
        <v>228</v>
      </c>
      <c r="O19" s="27" t="s">
        <v>229</v>
      </c>
      <c r="P19" s="27" t="s">
        <v>230</v>
      </c>
      <c r="Q19" s="28" t="s">
        <v>231</v>
      </c>
      <c r="R19" s="28" t="s">
        <v>232</v>
      </c>
      <c r="S19" s="28" t="s">
        <v>233</v>
      </c>
      <c r="T19" s="28" t="s">
        <v>234</v>
      </c>
      <c r="U19" s="28" t="s">
        <v>235</v>
      </c>
      <c r="V19" s="28" t="s">
        <v>236</v>
      </c>
      <c r="W19" s="28" t="s">
        <v>237</v>
      </c>
      <c r="X19" s="28" t="s">
        <v>238</v>
      </c>
      <c r="Y19" s="28" t="s">
        <v>239</v>
      </c>
      <c r="Z19" s="28" t="s">
        <v>240</v>
      </c>
    </row>
    <row r="20" spans="2:26" x14ac:dyDescent="0.3">
      <c r="B20" s="5" t="s">
        <v>257</v>
      </c>
      <c r="C20" s="20" t="s">
        <v>258</v>
      </c>
      <c r="D20" s="5" t="s">
        <v>166</v>
      </c>
      <c r="G20" s="29">
        <f>1</f>
        <v>1</v>
      </c>
    </row>
    <row r="21" spans="2:26" x14ac:dyDescent="0.3">
      <c r="B21" s="5" t="s">
        <v>34</v>
      </c>
      <c r="C21" s="20" t="s">
        <v>259</v>
      </c>
      <c r="D21" s="5" t="s">
        <v>166</v>
      </c>
      <c r="G21" s="34">
        <f>1</f>
        <v>1</v>
      </c>
      <c r="H21" s="34">
        <f>1</f>
        <v>1</v>
      </c>
      <c r="I21" s="34">
        <f>1</f>
        <v>1</v>
      </c>
      <c r="J21" s="34">
        <f>1</f>
        <v>1</v>
      </c>
      <c r="K21" s="34">
        <f>1</f>
        <v>1</v>
      </c>
      <c r="L21" s="34">
        <f>1</f>
        <v>1</v>
      </c>
      <c r="M21" s="34">
        <f>1</f>
        <v>1</v>
      </c>
      <c r="N21" s="34">
        <f>1</f>
        <v>1</v>
      </c>
      <c r="O21" s="34">
        <f>1</f>
        <v>1</v>
      </c>
      <c r="P21" s="34">
        <f>1</f>
        <v>1</v>
      </c>
      <c r="Q21" s="34">
        <f>1</f>
        <v>1</v>
      </c>
      <c r="R21" s="34">
        <f>1</f>
        <v>1</v>
      </c>
      <c r="S21" s="34">
        <f>1</f>
        <v>1</v>
      </c>
      <c r="T21" s="34">
        <f>1</f>
        <v>1</v>
      </c>
      <c r="U21" s="34">
        <f>1</f>
        <v>1</v>
      </c>
      <c r="V21" s="34">
        <f>1</f>
        <v>1</v>
      </c>
      <c r="W21" s="34">
        <f>1</f>
        <v>1</v>
      </c>
      <c r="X21" s="34">
        <f>1</f>
        <v>1</v>
      </c>
      <c r="Y21" s="34">
        <f>1</f>
        <v>1</v>
      </c>
      <c r="Z21" s="34">
        <f>1</f>
        <v>1</v>
      </c>
    </row>
    <row r="22" spans="2:26" x14ac:dyDescent="0.3">
      <c r="B22" s="5" t="s">
        <v>36</v>
      </c>
      <c r="C22" s="20" t="s">
        <v>260</v>
      </c>
      <c r="D22" s="5" t="s">
        <v>25</v>
      </c>
      <c r="G22" s="35">
        <f>IFERROR('DEVELOPER INPUTS'!#REF!,0)</f>
        <v>0</v>
      </c>
      <c r="H22" s="35">
        <f>IFERROR('DEVELOPER INPUTS'!#REF!,0)</f>
        <v>0</v>
      </c>
      <c r="I22" s="35">
        <f>IFERROR('DEVELOPER INPUTS'!#REF!,0)</f>
        <v>0</v>
      </c>
      <c r="J22" s="35">
        <f>IFERROR('DEVELOPER INPUTS'!#REF!,0)</f>
        <v>0</v>
      </c>
      <c r="K22" s="35">
        <f>IFERROR('DEVELOPER INPUTS'!#REF!,0)</f>
        <v>0</v>
      </c>
      <c r="L22" s="35">
        <f>IFERROR('DEVELOPER INPUTS'!#REF!,0)</f>
        <v>0</v>
      </c>
      <c r="M22" s="35">
        <f>IFERROR('DEVELOPER INPUTS'!#REF!,0)</f>
        <v>0</v>
      </c>
      <c r="N22" s="35">
        <f>IFERROR('DEVELOPER INPUTS'!#REF!,0)</f>
        <v>0</v>
      </c>
      <c r="O22" s="35">
        <f>IFERROR('DEVELOPER INPUTS'!#REF!,0)</f>
        <v>0</v>
      </c>
      <c r="P22" s="35">
        <f>IFERROR('DEVELOPER INPUTS'!#REF!,0)</f>
        <v>0</v>
      </c>
      <c r="Q22" s="35">
        <f>IFERROR('DEVELOPER INPUTS'!#REF!,0)</f>
        <v>0</v>
      </c>
      <c r="R22" s="35">
        <f>IFERROR('DEVELOPER INPUTS'!#REF!,0)</f>
        <v>0</v>
      </c>
      <c r="S22" s="35">
        <f>IFERROR('DEVELOPER INPUTS'!#REF!,0)</f>
        <v>0</v>
      </c>
      <c r="T22" s="35">
        <f>IFERROR('DEVELOPER INPUTS'!#REF!,0)</f>
        <v>0</v>
      </c>
      <c r="U22" s="35">
        <f>IFERROR('DEVELOPER INPUTS'!#REF!,0)</f>
        <v>0</v>
      </c>
      <c r="V22" s="35">
        <f>IFERROR('DEVELOPER INPUTS'!#REF!,0)</f>
        <v>0</v>
      </c>
      <c r="W22" s="35">
        <f>IFERROR('DEVELOPER INPUTS'!#REF!,0)</f>
        <v>0</v>
      </c>
      <c r="X22" s="35">
        <f>IFERROR('DEVELOPER INPUTS'!#REF!,0)</f>
        <v>0</v>
      </c>
      <c r="Y22" s="35">
        <f>IFERROR('DEVELOPER INPUTS'!#REF!,0)</f>
        <v>0</v>
      </c>
      <c r="Z22" s="35">
        <f>IFERROR('DEVELOPER INPUTS'!#REF!,0)</f>
        <v>0</v>
      </c>
    </row>
    <row r="23" spans="2:26" x14ac:dyDescent="0.3">
      <c r="B23" s="5" t="s">
        <v>38</v>
      </c>
      <c r="C23" s="20" t="s">
        <v>261</v>
      </c>
      <c r="D23" s="5" t="s">
        <v>25</v>
      </c>
      <c r="G23" s="35">
        <f>IFERROR('DEVELOPER INPUTS'!$E$43*'DEVELOPER INPUTS'!$E$8/1000,0)</f>
        <v>0</v>
      </c>
      <c r="H23" s="35">
        <f>IFERROR('DEVELOPER INPUTS'!$E$43*'DEVELOPER INPUTS'!$E$8/1000,0)</f>
        <v>0</v>
      </c>
      <c r="I23" s="35">
        <f>IFERROR('DEVELOPER INPUTS'!$E$43*'DEVELOPER INPUTS'!$E$8/1000,0)</f>
        <v>0</v>
      </c>
      <c r="J23" s="35">
        <f>IFERROR('DEVELOPER INPUTS'!$E$43*'DEVELOPER INPUTS'!$E$8/1000,0)</f>
        <v>0</v>
      </c>
      <c r="K23" s="35">
        <f>IFERROR('DEVELOPER INPUTS'!$E$43*'DEVELOPER INPUTS'!$E$8/1000,0)</f>
        <v>0</v>
      </c>
      <c r="L23" s="35">
        <f>IFERROR('DEVELOPER INPUTS'!$E$43*'DEVELOPER INPUTS'!$E$8/1000,0)</f>
        <v>0</v>
      </c>
      <c r="M23" s="35">
        <f>IFERROR('DEVELOPER INPUTS'!$E$43*'DEVELOPER INPUTS'!$E$8/1000,0)</f>
        <v>0</v>
      </c>
      <c r="N23" s="35">
        <f>IFERROR('DEVELOPER INPUTS'!$E$43*'DEVELOPER INPUTS'!$E$8/1000,0)</f>
        <v>0</v>
      </c>
      <c r="O23" s="35">
        <f>IFERROR('DEVELOPER INPUTS'!$E$43*'DEVELOPER INPUTS'!$E$8/1000,0)</f>
        <v>0</v>
      </c>
      <c r="P23" s="35">
        <f>IFERROR('DEVELOPER INPUTS'!$E$43*'DEVELOPER INPUTS'!$E$8/1000,0)</f>
        <v>0</v>
      </c>
      <c r="Q23" s="35">
        <f>IFERROR('DEVELOPER INPUTS'!$E$43*'DEVELOPER INPUTS'!$E$8/1000,0)</f>
        <v>0</v>
      </c>
      <c r="R23" s="35">
        <f>IFERROR('DEVELOPER INPUTS'!$E$43*'DEVELOPER INPUTS'!$E$8/1000,0)</f>
        <v>0</v>
      </c>
      <c r="S23" s="35">
        <f>IFERROR('DEVELOPER INPUTS'!$E$43*'DEVELOPER INPUTS'!$E$8/1000,0)</f>
        <v>0</v>
      </c>
      <c r="T23" s="35">
        <f>IFERROR('DEVELOPER INPUTS'!$E$43*'DEVELOPER INPUTS'!$E$8/1000,0)</f>
        <v>0</v>
      </c>
      <c r="U23" s="35">
        <f>IFERROR('DEVELOPER INPUTS'!$E$43*'DEVELOPER INPUTS'!$E$8/1000,0)</f>
        <v>0</v>
      </c>
      <c r="V23" s="35">
        <f>IFERROR('DEVELOPER INPUTS'!$E$43*'DEVELOPER INPUTS'!$E$8/1000,0)</f>
        <v>0</v>
      </c>
      <c r="W23" s="35">
        <f>IFERROR('DEVELOPER INPUTS'!$E$43*'DEVELOPER INPUTS'!$E$8/1000,0)</f>
        <v>0</v>
      </c>
      <c r="X23" s="35">
        <f>IFERROR('DEVELOPER INPUTS'!$E$43*'DEVELOPER INPUTS'!$E$8/1000,0)</f>
        <v>0</v>
      </c>
      <c r="Y23" s="35">
        <f>IFERROR('DEVELOPER INPUTS'!$E$43*'DEVELOPER INPUTS'!$E$8/1000,0)</f>
        <v>0</v>
      </c>
      <c r="Z23" s="35">
        <f>IFERROR('DEVELOPER INPUTS'!$E$43*'DEVELOPER INPUTS'!$E$8/1000,0)</f>
        <v>0</v>
      </c>
    </row>
    <row r="24" spans="2:26" x14ac:dyDescent="0.3">
      <c r="B24" s="5" t="s">
        <v>40</v>
      </c>
      <c r="C24" s="20" t="s">
        <v>262</v>
      </c>
      <c r="D24" s="5" t="s">
        <v>25</v>
      </c>
      <c r="G24" s="36">
        <f t="shared" ref="G24:Z24" si="0">G22+G23</f>
        <v>0</v>
      </c>
      <c r="H24" s="36">
        <f t="shared" si="0"/>
        <v>0</v>
      </c>
      <c r="I24" s="36">
        <f t="shared" si="0"/>
        <v>0</v>
      </c>
      <c r="J24" s="36">
        <f t="shared" si="0"/>
        <v>0</v>
      </c>
      <c r="K24" s="36">
        <f t="shared" si="0"/>
        <v>0</v>
      </c>
      <c r="L24" s="36">
        <f t="shared" si="0"/>
        <v>0</v>
      </c>
      <c r="M24" s="36">
        <f t="shared" si="0"/>
        <v>0</v>
      </c>
      <c r="N24" s="36">
        <f t="shared" si="0"/>
        <v>0</v>
      </c>
      <c r="O24" s="36">
        <f t="shared" si="0"/>
        <v>0</v>
      </c>
      <c r="P24" s="36">
        <f t="shared" si="0"/>
        <v>0</v>
      </c>
      <c r="Q24" s="36">
        <f t="shared" si="0"/>
        <v>0</v>
      </c>
      <c r="R24" s="36">
        <f t="shared" si="0"/>
        <v>0</v>
      </c>
      <c r="S24" s="36">
        <f t="shared" si="0"/>
        <v>0</v>
      </c>
      <c r="T24" s="36">
        <f t="shared" si="0"/>
        <v>0</v>
      </c>
      <c r="U24" s="36">
        <f t="shared" si="0"/>
        <v>0</v>
      </c>
      <c r="V24" s="36">
        <f t="shared" si="0"/>
        <v>0</v>
      </c>
      <c r="W24" s="36">
        <f t="shared" si="0"/>
        <v>0</v>
      </c>
      <c r="X24" s="36">
        <f t="shared" si="0"/>
        <v>0</v>
      </c>
      <c r="Y24" s="36">
        <f t="shared" si="0"/>
        <v>0</v>
      </c>
      <c r="Z24" s="36">
        <f t="shared" si="0"/>
        <v>0</v>
      </c>
    </row>
    <row r="25" spans="2:26" x14ac:dyDescent="0.3">
      <c r="B25" s="5" t="s">
        <v>41</v>
      </c>
      <c r="C25" s="20" t="s">
        <v>263</v>
      </c>
      <c r="D25" s="5" t="s">
        <v>112</v>
      </c>
      <c r="G25" s="35">
        <f>'COMMISSION PARAMETERS'!E19</f>
        <v>7.0000000000000007E-2</v>
      </c>
      <c r="H25" s="35">
        <f>MAX(G25-'COMMISSION PARAMETERS'!E20,0.06)</f>
        <v>0.06</v>
      </c>
      <c r="I25" s="35">
        <f>MAX(H25-'COMMISSION PARAMETERS'!E20,0.06)</f>
        <v>0.06</v>
      </c>
      <c r="J25" s="35">
        <f>MAX(I25-'COMMISSION PARAMETERS'!E20,0.06)</f>
        <v>0.06</v>
      </c>
      <c r="K25" s="35">
        <f>MAX(J25-'COMMISSION PARAMETERS'!E20,0.06)</f>
        <v>0.06</v>
      </c>
      <c r="L25" s="35">
        <f>MAX(K25-'COMMISSION PARAMETERS'!E20,0.06)</f>
        <v>0.06</v>
      </c>
      <c r="M25" s="35">
        <f>MAX(L25-'COMMISSION PARAMETERS'!E20,0.06)</f>
        <v>0.06</v>
      </c>
      <c r="N25" s="35">
        <f>MAX(M25-'COMMISSION PARAMETERS'!E20,0.06)</f>
        <v>0.06</v>
      </c>
      <c r="O25" s="35">
        <f>MAX(N25-'COMMISSION PARAMETERS'!E20,0.06)</f>
        <v>0.06</v>
      </c>
      <c r="P25" s="35">
        <f>MAX(O25-'COMMISSION PARAMETERS'!E20,0.06)</f>
        <v>0.06</v>
      </c>
      <c r="Q25" s="35">
        <f>MAX(P25-'COMMISSION PARAMETERS'!E20,0.06)</f>
        <v>0.06</v>
      </c>
      <c r="R25" s="35">
        <f>MAX(Q25-'COMMISSION PARAMETERS'!E20,0.06)</f>
        <v>0.06</v>
      </c>
      <c r="S25" s="35">
        <f>MAX(R25-'COMMISSION PARAMETERS'!E20,0.06)</f>
        <v>0.06</v>
      </c>
      <c r="T25" s="35">
        <f>MAX(S25-'COMMISSION PARAMETERS'!E20,0.06)</f>
        <v>0.06</v>
      </c>
      <c r="U25" s="35">
        <f>MAX(T25-'COMMISSION PARAMETERS'!E20,0.06)</f>
        <v>0.06</v>
      </c>
      <c r="V25" s="35">
        <f>MAX(U25-'COMMISSION PARAMETERS'!E20,0.06)</f>
        <v>0.06</v>
      </c>
      <c r="W25" s="35">
        <f>MAX(V25-'COMMISSION PARAMETERS'!E20,0.06)</f>
        <v>0.06</v>
      </c>
      <c r="X25" s="35">
        <f>MAX(W25-'COMMISSION PARAMETERS'!E20,0.06)</f>
        <v>0.06</v>
      </c>
      <c r="Y25" s="35">
        <f>MAX(X25-'COMMISSION PARAMETERS'!E20,0.06)</f>
        <v>0.06</v>
      </c>
      <c r="Z25" s="35">
        <f>MAX(Y25-'COMMISSION PARAMETERS'!E20,0.06)</f>
        <v>0.06</v>
      </c>
    </row>
    <row r="26" spans="2:26" x14ac:dyDescent="0.3">
      <c r="B26" s="14" t="s">
        <v>43</v>
      </c>
      <c r="C26" s="14" t="s">
        <v>264</v>
      </c>
      <c r="D26" s="23" t="s">
        <v>25</v>
      </c>
      <c r="G26" s="37">
        <f t="shared" ref="G26:Z26" si="1">IFERROR(G24*(1-G25),0)</f>
        <v>0</v>
      </c>
      <c r="H26" s="37">
        <f t="shared" si="1"/>
        <v>0</v>
      </c>
      <c r="I26" s="37">
        <f t="shared" si="1"/>
        <v>0</v>
      </c>
      <c r="J26" s="37">
        <f t="shared" si="1"/>
        <v>0</v>
      </c>
      <c r="K26" s="37">
        <f t="shared" si="1"/>
        <v>0</v>
      </c>
      <c r="L26" s="37">
        <f t="shared" si="1"/>
        <v>0</v>
      </c>
      <c r="M26" s="37">
        <f t="shared" si="1"/>
        <v>0</v>
      </c>
      <c r="N26" s="37">
        <f t="shared" si="1"/>
        <v>0</v>
      </c>
      <c r="O26" s="37">
        <f t="shared" si="1"/>
        <v>0</v>
      </c>
      <c r="P26" s="37">
        <f t="shared" si="1"/>
        <v>0</v>
      </c>
      <c r="Q26" s="37">
        <f t="shared" si="1"/>
        <v>0</v>
      </c>
      <c r="R26" s="37">
        <f t="shared" si="1"/>
        <v>0</v>
      </c>
      <c r="S26" s="37">
        <f t="shared" si="1"/>
        <v>0</v>
      </c>
      <c r="T26" s="37">
        <f t="shared" si="1"/>
        <v>0</v>
      </c>
      <c r="U26" s="37">
        <f t="shared" si="1"/>
        <v>0</v>
      </c>
      <c r="V26" s="37">
        <f t="shared" si="1"/>
        <v>0</v>
      </c>
      <c r="W26" s="37">
        <f t="shared" si="1"/>
        <v>0</v>
      </c>
      <c r="X26" s="37">
        <f t="shared" si="1"/>
        <v>0</v>
      </c>
      <c r="Y26" s="37">
        <f t="shared" si="1"/>
        <v>0</v>
      </c>
      <c r="Z26" s="37">
        <f t="shared" si="1"/>
        <v>0</v>
      </c>
    </row>
    <row r="27" spans="2:26" x14ac:dyDescent="0.3">
      <c r="B27" s="5" t="s">
        <v>44</v>
      </c>
      <c r="C27" s="20" t="s">
        <v>265</v>
      </c>
      <c r="D27" s="5" t="s">
        <v>59</v>
      </c>
      <c r="G27" s="35">
        <f>IFERROR(G23*1000*'DEVELOPER INPUTS'!$E$42*(1+'COMMISSION PARAMETERS'!$E$24)^(1-1),0)</f>
        <v>0</v>
      </c>
      <c r="H27" s="35">
        <f>IFERROR(H23*1000*'DEVELOPER INPUTS'!$E$42*(1+'COMMISSION PARAMETERS'!$E$24)^(2-1),0)</f>
        <v>0</v>
      </c>
      <c r="I27" s="35">
        <f>IFERROR(I23*1000*'DEVELOPER INPUTS'!$E$42*(1+'COMMISSION PARAMETERS'!$E$24)^(3-1),0)</f>
        <v>0</v>
      </c>
      <c r="J27" s="35">
        <f>IFERROR(J23*1000*'DEVELOPER INPUTS'!$E$42*(1+'COMMISSION PARAMETERS'!$E$24)^(4-1),0)</f>
        <v>0</v>
      </c>
      <c r="K27" s="35">
        <f>IFERROR(K23*1000*'DEVELOPER INPUTS'!$E$42*(1+'COMMISSION PARAMETERS'!$E$24)^(5-1),0)</f>
        <v>0</v>
      </c>
      <c r="L27" s="35">
        <f>IFERROR(L23*1000*'DEVELOPER INPUTS'!$E$42*(1+'COMMISSION PARAMETERS'!$E$24)^(6-1),0)</f>
        <v>0</v>
      </c>
      <c r="M27" s="35">
        <f>IFERROR(M23*1000*'DEVELOPER INPUTS'!$E$42*(1+'COMMISSION PARAMETERS'!$E$24)^(7-1),0)</f>
        <v>0</v>
      </c>
      <c r="N27" s="35">
        <f>IFERROR(N23*1000*'DEVELOPER INPUTS'!$E$42*(1+'COMMISSION PARAMETERS'!$E$24)^(8-1),0)</f>
        <v>0</v>
      </c>
      <c r="O27" s="35">
        <f>IFERROR(O23*1000*'DEVELOPER INPUTS'!$E$42*(1+'COMMISSION PARAMETERS'!$E$24)^(9-1),0)</f>
        <v>0</v>
      </c>
      <c r="P27" s="35">
        <f>IFERROR(P23*1000*'DEVELOPER INPUTS'!$E$42*(1+'COMMISSION PARAMETERS'!$E$24)^(10-1),0)</f>
        <v>0</v>
      </c>
      <c r="Q27" s="35">
        <f>IFERROR(Q23*1000*'DEVELOPER INPUTS'!$E$42*(1+'COMMISSION PARAMETERS'!$E$24)^(11-1),0)</f>
        <v>0</v>
      </c>
      <c r="R27" s="35">
        <f>IFERROR(R23*1000*'DEVELOPER INPUTS'!$E$42*(1+'COMMISSION PARAMETERS'!$E$24)^(12-1),0)</f>
        <v>0</v>
      </c>
      <c r="S27" s="35">
        <f>IFERROR(S23*1000*'DEVELOPER INPUTS'!$E$42*(1+'COMMISSION PARAMETERS'!$E$24)^(13-1),0)</f>
        <v>0</v>
      </c>
      <c r="T27" s="35">
        <f>IFERROR(T23*1000*'DEVELOPER INPUTS'!$E$42*(1+'COMMISSION PARAMETERS'!$E$24)^(14-1),0)</f>
        <v>0</v>
      </c>
      <c r="U27" s="35">
        <f>IFERROR(U23*1000*'DEVELOPER INPUTS'!$E$42*(1+'COMMISSION PARAMETERS'!$E$24)^(15-1),0)</f>
        <v>0</v>
      </c>
      <c r="V27" s="35">
        <f>IFERROR(V23*1000*'DEVELOPER INPUTS'!$E$42*(1+'COMMISSION PARAMETERS'!$E$24)^(16-1),0)</f>
        <v>0</v>
      </c>
      <c r="W27" s="35">
        <f>IFERROR(W23*1000*'DEVELOPER INPUTS'!$E$42*(1+'COMMISSION PARAMETERS'!$E$24)^(17-1),0)</f>
        <v>0</v>
      </c>
      <c r="X27" s="35">
        <f>IFERROR(X23*1000*'DEVELOPER INPUTS'!$E$42*(1+'COMMISSION PARAMETERS'!$E$24)^(18-1),0)</f>
        <v>0</v>
      </c>
      <c r="Y27" s="35">
        <f>IFERROR(Y23*1000*'DEVELOPER INPUTS'!$E$42*(1+'COMMISSION PARAMETERS'!$E$24)^(19-1),0)</f>
        <v>0</v>
      </c>
      <c r="Z27" s="35">
        <f>IFERROR(Z23*1000*'DEVELOPER INPUTS'!$E$42*(1+'COMMISSION PARAMETERS'!$E$24)^(20-1),0)</f>
        <v>0</v>
      </c>
    </row>
    <row r="28" spans="2:26" x14ac:dyDescent="0.3">
      <c r="B28" s="38" t="s">
        <v>266</v>
      </c>
      <c r="C28" s="38" t="s">
        <v>267</v>
      </c>
      <c r="D28" s="38" t="s">
        <v>25</v>
      </c>
      <c r="E28" s="38"/>
      <c r="F28" s="38"/>
      <c r="G28" s="39">
        <f>IFERROR('DEVELOPER INPUTS'!$E$11*(1+'DEVELOPER INPUTS'!$E$49)^(1-1),0)</f>
        <v>0</v>
      </c>
      <c r="H28" s="39">
        <f>IFERROR('DEVELOPER INPUTS'!$E$11*(1+'DEVELOPER INPUTS'!$E$49)^(2-1),0)</f>
        <v>0</v>
      </c>
      <c r="I28" s="39">
        <f>IFERROR('DEVELOPER INPUTS'!$E$11*(1+'DEVELOPER INPUTS'!$E$49)^(3-1),0)</f>
        <v>0</v>
      </c>
      <c r="J28" s="39">
        <f>IFERROR('DEVELOPER INPUTS'!$E$11*(1+'DEVELOPER INPUTS'!$E$49)^(4-1),0)</f>
        <v>0</v>
      </c>
      <c r="K28" s="39">
        <f>IFERROR('DEVELOPER INPUTS'!$E$11*(1+'DEVELOPER INPUTS'!$E$49)^(5-1),0)</f>
        <v>0</v>
      </c>
      <c r="L28" s="39">
        <f>IFERROR('DEVELOPER INPUTS'!$E$11*(1+'DEVELOPER INPUTS'!$E$49)^(6-1),0)</f>
        <v>0</v>
      </c>
      <c r="M28" s="39">
        <f>IFERROR('DEVELOPER INPUTS'!$E$11*(1+'DEVELOPER INPUTS'!$E$49)^(7-1),0)</f>
        <v>0</v>
      </c>
      <c r="N28" s="39">
        <f>IFERROR('DEVELOPER INPUTS'!$E$11*(1+'DEVELOPER INPUTS'!$E$49)^(8-1),0)</f>
        <v>0</v>
      </c>
      <c r="O28" s="39">
        <f>IFERROR('DEVELOPER INPUTS'!$E$11*(1+'DEVELOPER INPUTS'!$E$49)^(9-1),0)</f>
        <v>0</v>
      </c>
      <c r="P28" s="39">
        <f>IFERROR('DEVELOPER INPUTS'!$E$11*(1+'DEVELOPER INPUTS'!$E$49)^(10-1),0)</f>
        <v>0</v>
      </c>
      <c r="Q28" s="39">
        <f>IFERROR('DEVELOPER INPUTS'!$E$11*(1+'DEVELOPER INPUTS'!$E$49)^(11-1),0)</f>
        <v>0</v>
      </c>
      <c r="R28" s="39">
        <f>IFERROR('DEVELOPER INPUTS'!$E$11*(1+'DEVELOPER INPUTS'!$E$49)^(12-1),0)</f>
        <v>0</v>
      </c>
      <c r="S28" s="39">
        <f>IFERROR('DEVELOPER INPUTS'!$E$11*(1+'DEVELOPER INPUTS'!$E$49)^(13-1),0)</f>
        <v>0</v>
      </c>
      <c r="T28" s="39">
        <f>IFERROR('DEVELOPER INPUTS'!$E$11*(1+'DEVELOPER INPUTS'!$E$49)^(14-1),0)</f>
        <v>0</v>
      </c>
      <c r="U28" s="39">
        <f>IFERROR('DEVELOPER INPUTS'!$E$11*(1+'DEVELOPER INPUTS'!$E$49)^(15-1),0)</f>
        <v>0</v>
      </c>
      <c r="V28" s="39">
        <f>IFERROR('DEVELOPER INPUTS'!$E$11*(1+'DEVELOPER INPUTS'!$E$49)^(16-1),0)</f>
        <v>0</v>
      </c>
      <c r="W28" s="39">
        <f>IFERROR('DEVELOPER INPUTS'!$E$11*(1+'DEVELOPER INPUTS'!$E$49)^(17-1),0)</f>
        <v>0</v>
      </c>
      <c r="X28" s="39">
        <f>IFERROR('DEVELOPER INPUTS'!$E$11*(1+'DEVELOPER INPUTS'!$E$49)^(18-1),0)</f>
        <v>0</v>
      </c>
      <c r="Y28" s="39">
        <f>IFERROR('DEVELOPER INPUTS'!$E$11*(1+'DEVELOPER INPUTS'!$E$49)^(19-1),0)</f>
        <v>0</v>
      </c>
      <c r="Z28" s="39">
        <f>IFERROR('DEVELOPER INPUTS'!$E$11*(1+'DEVELOPER INPUTS'!$E$49)^(20-1),0)</f>
        <v>0</v>
      </c>
    </row>
    <row r="29" spans="2:26" customFormat="1" x14ac:dyDescent="0.3"/>
    <row r="30" spans="2:26" x14ac:dyDescent="0.3">
      <c r="B30" s="91" t="s">
        <v>29</v>
      </c>
      <c r="C30" s="92" t="s">
        <v>219</v>
      </c>
      <c r="D30" s="91" t="s">
        <v>220</v>
      </c>
      <c r="G30" s="27" t="s">
        <v>221</v>
      </c>
      <c r="H30" s="27" t="s">
        <v>222</v>
      </c>
      <c r="I30" s="27" t="s">
        <v>223</v>
      </c>
      <c r="J30" s="27" t="s">
        <v>224</v>
      </c>
      <c r="K30" s="27" t="s">
        <v>225</v>
      </c>
      <c r="L30" s="27" t="s">
        <v>226</v>
      </c>
      <c r="M30" s="27" t="s">
        <v>227</v>
      </c>
      <c r="N30" s="27" t="s">
        <v>228</v>
      </c>
      <c r="O30" s="27" t="s">
        <v>229</v>
      </c>
      <c r="P30" s="27" t="s">
        <v>230</v>
      </c>
      <c r="Q30" s="28" t="s">
        <v>231</v>
      </c>
      <c r="R30" s="28" t="s">
        <v>232</v>
      </c>
      <c r="S30" s="28" t="s">
        <v>233</v>
      </c>
      <c r="T30" s="28" t="s">
        <v>234</v>
      </c>
      <c r="U30" s="28" t="s">
        <v>235</v>
      </c>
      <c r="V30" s="28" t="s">
        <v>236</v>
      </c>
      <c r="W30" s="28" t="s">
        <v>237</v>
      </c>
      <c r="X30" s="28" t="s">
        <v>238</v>
      </c>
      <c r="Y30" s="28" t="s">
        <v>239</v>
      </c>
      <c r="Z30" s="28" t="s">
        <v>240</v>
      </c>
    </row>
    <row r="31" spans="2:26" x14ac:dyDescent="0.3">
      <c r="B31" s="5" t="s">
        <v>268</v>
      </c>
      <c r="C31" s="20" t="s">
        <v>269</v>
      </c>
      <c r="D31" s="5" t="s">
        <v>59</v>
      </c>
      <c r="G31" s="33">
        <f>$G$14</f>
        <v>0</v>
      </c>
      <c r="H31" s="30">
        <f t="shared" ref="H31:Z31" si="2">G34</f>
        <v>0</v>
      </c>
      <c r="I31" s="30">
        <f t="shared" si="2"/>
        <v>0</v>
      </c>
      <c r="J31" s="30">
        <f t="shared" si="2"/>
        <v>0</v>
      </c>
      <c r="K31" s="30">
        <f t="shared" si="2"/>
        <v>0</v>
      </c>
      <c r="L31" s="30">
        <f t="shared" si="2"/>
        <v>0</v>
      </c>
      <c r="M31" s="30">
        <f t="shared" si="2"/>
        <v>0</v>
      </c>
      <c r="N31" s="30">
        <f t="shared" si="2"/>
        <v>0</v>
      </c>
      <c r="O31" s="30">
        <f t="shared" si="2"/>
        <v>0</v>
      </c>
      <c r="P31" s="30">
        <f t="shared" si="2"/>
        <v>0</v>
      </c>
      <c r="Q31" s="30">
        <f t="shared" si="2"/>
        <v>0</v>
      </c>
      <c r="R31" s="30">
        <f t="shared" si="2"/>
        <v>0</v>
      </c>
      <c r="S31" s="30">
        <f t="shared" si="2"/>
        <v>0</v>
      </c>
      <c r="T31" s="30">
        <f t="shared" si="2"/>
        <v>0</v>
      </c>
      <c r="U31" s="30">
        <f t="shared" si="2"/>
        <v>0</v>
      </c>
      <c r="V31" s="30">
        <f t="shared" si="2"/>
        <v>0</v>
      </c>
      <c r="W31" s="30">
        <f t="shared" si="2"/>
        <v>0</v>
      </c>
      <c r="X31" s="30">
        <f t="shared" si="2"/>
        <v>0</v>
      </c>
      <c r="Y31" s="30">
        <f t="shared" si="2"/>
        <v>0</v>
      </c>
      <c r="Z31" s="30">
        <f t="shared" si="2"/>
        <v>0</v>
      </c>
    </row>
    <row r="32" spans="2:26" x14ac:dyDescent="0.3">
      <c r="B32" s="5" t="s">
        <v>270</v>
      </c>
      <c r="C32" s="20" t="s">
        <v>271</v>
      </c>
      <c r="D32" s="5" t="s">
        <v>59</v>
      </c>
      <c r="G32" s="30">
        <f>IFERROR(G31/'COMMISSION PARAMETERS'!$E$21,0)</f>
        <v>0</v>
      </c>
      <c r="H32" s="30">
        <f>IFERROR(H31/'COMMISSION PARAMETERS'!$E$21,0)</f>
        <v>0</v>
      </c>
      <c r="I32" s="30">
        <f>IFERROR(I31/'COMMISSION PARAMETERS'!$E$21,0)</f>
        <v>0</v>
      </c>
      <c r="J32" s="30">
        <f>IFERROR(J31/'COMMISSION PARAMETERS'!$E$21,0)</f>
        <v>0</v>
      </c>
      <c r="K32" s="30">
        <f>IFERROR(K31/'COMMISSION PARAMETERS'!$E$21,0)</f>
        <v>0</v>
      </c>
      <c r="L32" s="30">
        <f>IFERROR(L31/'COMMISSION PARAMETERS'!$E$21,0)</f>
        <v>0</v>
      </c>
      <c r="M32" s="30">
        <f>IFERROR(M31/'COMMISSION PARAMETERS'!$E$21,0)</f>
        <v>0</v>
      </c>
      <c r="N32" s="30">
        <f>IFERROR(N31/'COMMISSION PARAMETERS'!$E$21,0)</f>
        <v>0</v>
      </c>
      <c r="O32" s="30">
        <f>IFERROR(O31/'COMMISSION PARAMETERS'!$E$21,0)</f>
        <v>0</v>
      </c>
      <c r="P32" s="30">
        <f>IFERROR(P31/'COMMISSION PARAMETERS'!$E$21,0)</f>
        <v>0</v>
      </c>
      <c r="Q32" s="30">
        <f>IFERROR(Q31/'COMMISSION PARAMETERS'!$E$21,0)</f>
        <v>0</v>
      </c>
      <c r="R32" s="30">
        <f>IFERROR(R31/'COMMISSION PARAMETERS'!$E$21,0)</f>
        <v>0</v>
      </c>
      <c r="S32" s="30">
        <f>IFERROR(S31/'COMMISSION PARAMETERS'!$E$21,0)</f>
        <v>0</v>
      </c>
      <c r="T32" s="30">
        <f>IFERROR(T31/'COMMISSION PARAMETERS'!$E$21,0)</f>
        <v>0</v>
      </c>
      <c r="U32" s="30">
        <f>IFERROR(U31/'COMMISSION PARAMETERS'!$E$21,0)</f>
        <v>0</v>
      </c>
      <c r="V32" s="30">
        <f>IFERROR(V31/'COMMISSION PARAMETERS'!$E$21,0)</f>
        <v>0</v>
      </c>
      <c r="W32" s="30">
        <f>IFERROR(W31/'COMMISSION PARAMETERS'!$E$21,0)</f>
        <v>0</v>
      </c>
      <c r="X32" s="30">
        <f>IFERROR(X31/'COMMISSION PARAMETERS'!$E$21,0)</f>
        <v>0</v>
      </c>
      <c r="Y32" s="30">
        <f>IFERROR(Y31/'COMMISSION PARAMETERS'!$E$21,0)</f>
        <v>0</v>
      </c>
      <c r="Z32" s="30">
        <f>IFERROR(Z31/'COMMISSION PARAMETERS'!$E$21,0)</f>
        <v>0</v>
      </c>
    </row>
    <row r="33" spans="2:26" x14ac:dyDescent="0.3">
      <c r="B33" s="5" t="s">
        <v>272</v>
      </c>
      <c r="C33" s="20" t="s">
        <v>273</v>
      </c>
      <c r="D33" s="5" t="s">
        <v>59</v>
      </c>
      <c r="G33" s="40">
        <f>IF(OR(1=7,1=14),$G$8,0)</f>
        <v>0</v>
      </c>
      <c r="H33" s="40">
        <f>IF(OR(2=7,2=14),$G$8,0)</f>
        <v>0</v>
      </c>
      <c r="I33" s="40">
        <f>IF(OR(3=7,3=14),$G$8,0)</f>
        <v>0</v>
      </c>
      <c r="J33" s="40">
        <f>IF(OR(4=7,4=14),$G$8,0)</f>
        <v>0</v>
      </c>
      <c r="K33" s="40">
        <f>IF(OR(5=7,5=14),$G$8,0)</f>
        <v>0</v>
      </c>
      <c r="L33" s="40">
        <f>IF(OR(6=7,6=14),$G$8,0)</f>
        <v>0</v>
      </c>
      <c r="M33" s="30">
        <f>IF(OR(7=7,7=14),$G$8,0)</f>
        <v>0</v>
      </c>
      <c r="N33" s="40">
        <f>IF(OR(8=7,8=14),$G$8,0)</f>
        <v>0</v>
      </c>
      <c r="O33" s="40">
        <f>IF(OR(9=7,9=14),$G$8,0)</f>
        <v>0</v>
      </c>
      <c r="P33" s="40">
        <f>IF(OR(10=7,10=14),$G$8,0)</f>
        <v>0</v>
      </c>
      <c r="Q33" s="40">
        <f>IF(OR(11=7,11=14),$G$8,0)</f>
        <v>0</v>
      </c>
      <c r="R33" s="40">
        <f>IF(OR(12=7,12=14),$G$8,0)</f>
        <v>0</v>
      </c>
      <c r="S33" s="40">
        <f>IF(OR(13=7,13=14),$G$8,0)</f>
        <v>0</v>
      </c>
      <c r="T33" s="30">
        <f>IF(OR(14=7,14=14),$G$8,0)</f>
        <v>0</v>
      </c>
      <c r="U33" s="40">
        <f>IF(OR(15=7,15=14),$G$8,0)</f>
        <v>0</v>
      </c>
      <c r="V33" s="40">
        <f>IF(OR(16=7,16=14),$G$8,0)</f>
        <v>0</v>
      </c>
      <c r="W33" s="40">
        <f>IF(OR(17=7,17=14),$G$8,0)</f>
        <v>0</v>
      </c>
      <c r="X33" s="40">
        <f>IF(OR(18=7,18=14),$G$8,0)</f>
        <v>0</v>
      </c>
      <c r="Y33" s="40">
        <f>IF(OR(19=7,19=14),$G$8,0)</f>
        <v>0</v>
      </c>
      <c r="Z33" s="40">
        <f>IF(OR(20=7,20=14),$G$8,0)</f>
        <v>0</v>
      </c>
    </row>
    <row r="34" spans="2:26" x14ac:dyDescent="0.3">
      <c r="B34" s="14" t="s">
        <v>274</v>
      </c>
      <c r="C34" s="14" t="s">
        <v>275</v>
      </c>
      <c r="D34" s="23" t="s">
        <v>59</v>
      </c>
      <c r="G34" s="32">
        <f t="shared" ref="G34:Z34" si="3">MAX(G31+G33-G32,0)</f>
        <v>0</v>
      </c>
      <c r="H34" s="32">
        <f t="shared" si="3"/>
        <v>0</v>
      </c>
      <c r="I34" s="32">
        <f t="shared" si="3"/>
        <v>0</v>
      </c>
      <c r="J34" s="32">
        <f t="shared" si="3"/>
        <v>0</v>
      </c>
      <c r="K34" s="32">
        <f t="shared" si="3"/>
        <v>0</v>
      </c>
      <c r="L34" s="32">
        <f t="shared" si="3"/>
        <v>0</v>
      </c>
      <c r="M34" s="32">
        <f t="shared" si="3"/>
        <v>0</v>
      </c>
      <c r="N34" s="32">
        <f t="shared" si="3"/>
        <v>0</v>
      </c>
      <c r="O34" s="32">
        <f t="shared" si="3"/>
        <v>0</v>
      </c>
      <c r="P34" s="32">
        <f t="shared" si="3"/>
        <v>0</v>
      </c>
      <c r="Q34" s="32">
        <f t="shared" si="3"/>
        <v>0</v>
      </c>
      <c r="R34" s="32">
        <f t="shared" si="3"/>
        <v>0</v>
      </c>
      <c r="S34" s="32">
        <f t="shared" si="3"/>
        <v>0</v>
      </c>
      <c r="T34" s="32">
        <f t="shared" si="3"/>
        <v>0</v>
      </c>
      <c r="U34" s="32">
        <f t="shared" si="3"/>
        <v>0</v>
      </c>
      <c r="V34" s="32">
        <f t="shared" si="3"/>
        <v>0</v>
      </c>
      <c r="W34" s="32">
        <f t="shared" si="3"/>
        <v>0</v>
      </c>
      <c r="X34" s="32">
        <f t="shared" si="3"/>
        <v>0</v>
      </c>
      <c r="Y34" s="32">
        <f t="shared" si="3"/>
        <v>0</v>
      </c>
      <c r="Z34" s="32">
        <f t="shared" si="3"/>
        <v>0</v>
      </c>
    </row>
    <row r="35" spans="2:26" x14ac:dyDescent="0.3">
      <c r="B35" s="5" t="s">
        <v>276</v>
      </c>
      <c r="C35" s="20" t="s">
        <v>277</v>
      </c>
      <c r="D35" s="5" t="s">
        <v>59</v>
      </c>
      <c r="G35" s="33">
        <f t="shared" ref="G35:Z35" si="4">(G31+G34)/2</f>
        <v>0</v>
      </c>
      <c r="H35" s="33">
        <f t="shared" si="4"/>
        <v>0</v>
      </c>
      <c r="I35" s="33">
        <f t="shared" si="4"/>
        <v>0</v>
      </c>
      <c r="J35" s="33">
        <f t="shared" si="4"/>
        <v>0</v>
      </c>
      <c r="K35" s="33">
        <f t="shared" si="4"/>
        <v>0</v>
      </c>
      <c r="L35" s="33">
        <f t="shared" si="4"/>
        <v>0</v>
      </c>
      <c r="M35" s="33">
        <f t="shared" si="4"/>
        <v>0</v>
      </c>
      <c r="N35" s="33">
        <f t="shared" si="4"/>
        <v>0</v>
      </c>
      <c r="O35" s="33">
        <f t="shared" si="4"/>
        <v>0</v>
      </c>
      <c r="P35" s="33">
        <f t="shared" si="4"/>
        <v>0</v>
      </c>
      <c r="Q35" s="33">
        <f t="shared" si="4"/>
        <v>0</v>
      </c>
      <c r="R35" s="33">
        <f t="shared" si="4"/>
        <v>0</v>
      </c>
      <c r="S35" s="33">
        <f t="shared" si="4"/>
        <v>0</v>
      </c>
      <c r="T35" s="33">
        <f t="shared" si="4"/>
        <v>0</v>
      </c>
      <c r="U35" s="33">
        <f t="shared" si="4"/>
        <v>0</v>
      </c>
      <c r="V35" s="33">
        <f t="shared" si="4"/>
        <v>0</v>
      </c>
      <c r="W35" s="33">
        <f t="shared" si="4"/>
        <v>0</v>
      </c>
      <c r="X35" s="33">
        <f t="shared" si="4"/>
        <v>0</v>
      </c>
      <c r="Y35" s="33">
        <f t="shared" si="4"/>
        <v>0</v>
      </c>
      <c r="Z35" s="33">
        <f t="shared" si="4"/>
        <v>0</v>
      </c>
    </row>
    <row r="36" spans="2:26" x14ac:dyDescent="0.3"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2:26" x14ac:dyDescent="0.3">
      <c r="B37" s="93" t="s">
        <v>278</v>
      </c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5"/>
      <c r="V37" s="31"/>
      <c r="W37" s="31"/>
      <c r="X37" s="31"/>
      <c r="Y37" s="31"/>
      <c r="Z37" s="31"/>
    </row>
    <row r="38" spans="2:26" x14ac:dyDescent="0.3">
      <c r="B38" s="5" t="s">
        <v>29</v>
      </c>
      <c r="C38" s="16" t="s">
        <v>279</v>
      </c>
      <c r="D38" s="5" t="s">
        <v>59</v>
      </c>
      <c r="G38" s="41" t="s">
        <v>221</v>
      </c>
      <c r="H38" s="41" t="s">
        <v>222</v>
      </c>
      <c r="I38" s="41" t="s">
        <v>223</v>
      </c>
      <c r="J38" s="41" t="s">
        <v>224</v>
      </c>
      <c r="K38" s="41" t="s">
        <v>225</v>
      </c>
      <c r="L38" s="41" t="s">
        <v>226</v>
      </c>
      <c r="M38" s="41" t="s">
        <v>227</v>
      </c>
      <c r="N38" s="41" t="s">
        <v>228</v>
      </c>
      <c r="O38" s="41" t="s">
        <v>229</v>
      </c>
      <c r="P38" s="41" t="s">
        <v>230</v>
      </c>
      <c r="Q38" s="42" t="s">
        <v>231</v>
      </c>
      <c r="R38" s="42" t="s">
        <v>232</v>
      </c>
      <c r="S38" s="42" t="s">
        <v>233</v>
      </c>
      <c r="T38" s="42" t="s">
        <v>234</v>
      </c>
      <c r="U38" s="42" t="s">
        <v>235</v>
      </c>
      <c r="V38" s="42" t="s">
        <v>236</v>
      </c>
      <c r="W38" s="42" t="s">
        <v>237</v>
      </c>
      <c r="X38" s="42" t="s">
        <v>238</v>
      </c>
      <c r="Y38" s="42" t="s">
        <v>239</v>
      </c>
      <c r="Z38" s="42" t="s">
        <v>240</v>
      </c>
    </row>
    <row r="39" spans="2:26" x14ac:dyDescent="0.3">
      <c r="B39" s="5" t="s">
        <v>57</v>
      </c>
      <c r="C39" s="20" t="s">
        <v>280</v>
      </c>
      <c r="D39" s="5" t="s">
        <v>59</v>
      </c>
      <c r="G39" s="30">
        <f>G35*'COMMISSION PARAMETERS'!$E$15</f>
        <v>0</v>
      </c>
      <c r="H39" s="30">
        <f>H35*'COMMISSION PARAMETERS'!$E$15</f>
        <v>0</v>
      </c>
      <c r="I39" s="30">
        <f>I35*'COMMISSION PARAMETERS'!$E$15</f>
        <v>0</v>
      </c>
      <c r="J39" s="30">
        <f>J35*'COMMISSION PARAMETERS'!$E$15</f>
        <v>0</v>
      </c>
      <c r="K39" s="30">
        <f>K35*'COMMISSION PARAMETERS'!$E$15</f>
        <v>0</v>
      </c>
      <c r="L39" s="30">
        <f>L35*'COMMISSION PARAMETERS'!$E$15</f>
        <v>0</v>
      </c>
      <c r="M39" s="30">
        <f>M35*'COMMISSION PARAMETERS'!$E$15</f>
        <v>0</v>
      </c>
      <c r="N39" s="30">
        <f>N35*'COMMISSION PARAMETERS'!$E$15</f>
        <v>0</v>
      </c>
      <c r="O39" s="30">
        <f>O35*'COMMISSION PARAMETERS'!$E$15</f>
        <v>0</v>
      </c>
      <c r="P39" s="30">
        <f>P35*'COMMISSION PARAMETERS'!$E$15</f>
        <v>0</v>
      </c>
      <c r="Q39" s="30">
        <f>Q35*'COMMISSION PARAMETERS'!$E$15</f>
        <v>0</v>
      </c>
      <c r="R39" s="30">
        <f>R35*'COMMISSION PARAMETERS'!$E$15</f>
        <v>0</v>
      </c>
      <c r="S39" s="30">
        <f>S35*'COMMISSION PARAMETERS'!$E$15</f>
        <v>0</v>
      </c>
      <c r="T39" s="30">
        <f>T35*'COMMISSION PARAMETERS'!$E$15</f>
        <v>0</v>
      </c>
      <c r="U39" s="30">
        <f>U35*'COMMISSION PARAMETERS'!$E$15</f>
        <v>0</v>
      </c>
      <c r="V39" s="30">
        <f>V35*'COMMISSION PARAMETERS'!$E$15</f>
        <v>0</v>
      </c>
      <c r="W39" s="30">
        <f>W35*'COMMISSION PARAMETERS'!$E$15</f>
        <v>0</v>
      </c>
      <c r="X39" s="30">
        <f>X35*'COMMISSION PARAMETERS'!$E$15</f>
        <v>0</v>
      </c>
      <c r="Y39" s="30">
        <f>Y35*'COMMISSION PARAMETERS'!$E$15</f>
        <v>0</v>
      </c>
      <c r="Z39" s="30">
        <f>Z35*'COMMISSION PARAMETERS'!$E$15</f>
        <v>0</v>
      </c>
    </row>
    <row r="40" spans="2:26" x14ac:dyDescent="0.3">
      <c r="B40" s="5" t="s">
        <v>281</v>
      </c>
      <c r="C40" s="20" t="s">
        <v>282</v>
      </c>
      <c r="D40" s="5" t="s">
        <v>59</v>
      </c>
      <c r="G40" s="30">
        <f t="shared" ref="G40:Z40" si="5">G32</f>
        <v>0</v>
      </c>
      <c r="H40" s="30">
        <f t="shared" si="5"/>
        <v>0</v>
      </c>
      <c r="I40" s="30">
        <f t="shared" si="5"/>
        <v>0</v>
      </c>
      <c r="J40" s="30">
        <f t="shared" si="5"/>
        <v>0</v>
      </c>
      <c r="K40" s="30">
        <f t="shared" si="5"/>
        <v>0</v>
      </c>
      <c r="L40" s="30">
        <f t="shared" si="5"/>
        <v>0</v>
      </c>
      <c r="M40" s="30">
        <f t="shared" si="5"/>
        <v>0</v>
      </c>
      <c r="N40" s="30">
        <f t="shared" si="5"/>
        <v>0</v>
      </c>
      <c r="O40" s="30">
        <f t="shared" si="5"/>
        <v>0</v>
      </c>
      <c r="P40" s="30">
        <f t="shared" si="5"/>
        <v>0</v>
      </c>
      <c r="Q40" s="30">
        <f t="shared" si="5"/>
        <v>0</v>
      </c>
      <c r="R40" s="30">
        <f t="shared" si="5"/>
        <v>0</v>
      </c>
      <c r="S40" s="30">
        <f t="shared" si="5"/>
        <v>0</v>
      </c>
      <c r="T40" s="30">
        <f t="shared" si="5"/>
        <v>0</v>
      </c>
      <c r="U40" s="30">
        <f t="shared" si="5"/>
        <v>0</v>
      </c>
      <c r="V40" s="30">
        <f t="shared" si="5"/>
        <v>0</v>
      </c>
      <c r="W40" s="30">
        <f t="shared" si="5"/>
        <v>0</v>
      </c>
      <c r="X40" s="30">
        <f t="shared" si="5"/>
        <v>0</v>
      </c>
      <c r="Y40" s="30">
        <f t="shared" si="5"/>
        <v>0</v>
      </c>
      <c r="Z40" s="30">
        <f t="shared" si="5"/>
        <v>0</v>
      </c>
    </row>
    <row r="41" spans="2:26" x14ac:dyDescent="0.3">
      <c r="B41" s="5" t="s">
        <v>61</v>
      </c>
      <c r="C41" s="20" t="s">
        <v>283</v>
      </c>
      <c r="D41" s="5" t="s">
        <v>59</v>
      </c>
      <c r="G41" s="30">
        <f>IFERROR('DEVELOPER INPUTS'!$E$37+'DEVELOPER INPUTS'!$E$38+'DEVELOPER INPUTS'!$E$39+'DEVELOPER INPUTS'!$E$40+'DEVELOPER INPUTS'!$E$41+'DEVELOPER INPUTS'!$E$45+G12*0.01,0)</f>
        <v>0</v>
      </c>
      <c r="H41" s="30">
        <f>G41*(1+'COMMISSION PARAMETERS'!$E$23)</f>
        <v>0</v>
      </c>
      <c r="I41" s="30">
        <f>H41*(1+'COMMISSION PARAMETERS'!$E$23)</f>
        <v>0</v>
      </c>
      <c r="J41" s="30">
        <f>I41*(1+'COMMISSION PARAMETERS'!$E$23)</f>
        <v>0</v>
      </c>
      <c r="K41" s="30">
        <f>J41*(1+'COMMISSION PARAMETERS'!$E$23)</f>
        <v>0</v>
      </c>
      <c r="L41" s="30">
        <f>K41*(1+'COMMISSION PARAMETERS'!$E$23)</f>
        <v>0</v>
      </c>
      <c r="M41" s="30">
        <f>L41*(1+'COMMISSION PARAMETERS'!$E$23)</f>
        <v>0</v>
      </c>
      <c r="N41" s="30">
        <f>M41*(1+'COMMISSION PARAMETERS'!$E$23)</f>
        <v>0</v>
      </c>
      <c r="O41" s="30">
        <f>N41*(1+'COMMISSION PARAMETERS'!$E$23)</f>
        <v>0</v>
      </c>
      <c r="P41" s="30">
        <f>O41*(1+'COMMISSION PARAMETERS'!$E$23)</f>
        <v>0</v>
      </c>
      <c r="Q41" s="30">
        <f>P41*(1+'COMMISSION PARAMETERS'!$E$23)</f>
        <v>0</v>
      </c>
      <c r="R41" s="30">
        <f>Q41*(1+'COMMISSION PARAMETERS'!$E$23)</f>
        <v>0</v>
      </c>
      <c r="S41" s="30">
        <f>R41*(1+'COMMISSION PARAMETERS'!$E$23)</f>
        <v>0</v>
      </c>
      <c r="T41" s="30">
        <f>S41*(1+'COMMISSION PARAMETERS'!$E$23)</f>
        <v>0</v>
      </c>
      <c r="U41" s="30">
        <f>T41*(1+'COMMISSION PARAMETERS'!$E$23)</f>
        <v>0</v>
      </c>
      <c r="V41" s="30">
        <f>U41*(1+'COMMISSION PARAMETERS'!$E$23)</f>
        <v>0</v>
      </c>
      <c r="W41" s="30">
        <f>V41*(1+'COMMISSION PARAMETERS'!$E$23)</f>
        <v>0</v>
      </c>
      <c r="X41" s="30">
        <f>W41*(1+'COMMISSION PARAMETERS'!$E$23)</f>
        <v>0</v>
      </c>
      <c r="Y41" s="30">
        <f>X41*(1+'COMMISSION PARAMETERS'!$E$23)</f>
        <v>0</v>
      </c>
      <c r="Z41" s="30">
        <f>Y41*(1+'COMMISSION PARAMETERS'!$E$23)</f>
        <v>0</v>
      </c>
    </row>
    <row r="42" spans="2:26" x14ac:dyDescent="0.3">
      <c r="B42" s="5" t="s">
        <v>64</v>
      </c>
      <c r="C42" s="20" t="s">
        <v>284</v>
      </c>
      <c r="D42" s="5" t="s">
        <v>59</v>
      </c>
      <c r="G42" s="30">
        <f t="shared" ref="G42:Z42" si="6">G27</f>
        <v>0</v>
      </c>
      <c r="H42" s="30">
        <f t="shared" si="6"/>
        <v>0</v>
      </c>
      <c r="I42" s="30">
        <f t="shared" si="6"/>
        <v>0</v>
      </c>
      <c r="J42" s="30">
        <f t="shared" si="6"/>
        <v>0</v>
      </c>
      <c r="K42" s="30">
        <f t="shared" si="6"/>
        <v>0</v>
      </c>
      <c r="L42" s="30">
        <f t="shared" si="6"/>
        <v>0</v>
      </c>
      <c r="M42" s="30">
        <f t="shared" si="6"/>
        <v>0</v>
      </c>
      <c r="N42" s="30">
        <f t="shared" si="6"/>
        <v>0</v>
      </c>
      <c r="O42" s="30">
        <f t="shared" si="6"/>
        <v>0</v>
      </c>
      <c r="P42" s="30">
        <f t="shared" si="6"/>
        <v>0</v>
      </c>
      <c r="Q42" s="30">
        <f t="shared" si="6"/>
        <v>0</v>
      </c>
      <c r="R42" s="30">
        <f t="shared" si="6"/>
        <v>0</v>
      </c>
      <c r="S42" s="30">
        <f t="shared" si="6"/>
        <v>0</v>
      </c>
      <c r="T42" s="30">
        <f t="shared" si="6"/>
        <v>0</v>
      </c>
      <c r="U42" s="30">
        <f t="shared" si="6"/>
        <v>0</v>
      </c>
      <c r="V42" s="30">
        <f t="shared" si="6"/>
        <v>0</v>
      </c>
      <c r="W42" s="30">
        <f t="shared" si="6"/>
        <v>0</v>
      </c>
      <c r="X42" s="30">
        <f t="shared" si="6"/>
        <v>0</v>
      </c>
      <c r="Y42" s="30">
        <f t="shared" si="6"/>
        <v>0</v>
      </c>
      <c r="Z42" s="30">
        <f t="shared" si="6"/>
        <v>0</v>
      </c>
    </row>
    <row r="43" spans="2:26" x14ac:dyDescent="0.3">
      <c r="B43" s="5" t="s">
        <v>67</v>
      </c>
      <c r="C43" s="20" t="s">
        <v>285</v>
      </c>
      <c r="D43" s="5" t="s">
        <v>59</v>
      </c>
      <c r="G43" s="30">
        <f>(G39+G40+G41)*'COMMISSION PARAMETERS'!$E$18</f>
        <v>0</v>
      </c>
      <c r="H43" s="30">
        <f>(H39+H40+H41)*'COMMISSION PARAMETERS'!$E$18</f>
        <v>0</v>
      </c>
      <c r="I43" s="30">
        <f>(I39+I40+I41)*'COMMISSION PARAMETERS'!$E$18</f>
        <v>0</v>
      </c>
      <c r="J43" s="30">
        <f>(J39+J40+J41)*'COMMISSION PARAMETERS'!$E$18</f>
        <v>0</v>
      </c>
      <c r="K43" s="30">
        <f>(K39+K40+K41)*'COMMISSION PARAMETERS'!$E$18</f>
        <v>0</v>
      </c>
      <c r="L43" s="30">
        <f>(L39+L40+L41)*'COMMISSION PARAMETERS'!$E$18</f>
        <v>0</v>
      </c>
      <c r="M43" s="30">
        <f>(M39+M40+M41)*'COMMISSION PARAMETERS'!$E$18</f>
        <v>0</v>
      </c>
      <c r="N43" s="30">
        <f>(N39+N40+N41)*'COMMISSION PARAMETERS'!$E$18</f>
        <v>0</v>
      </c>
      <c r="O43" s="30">
        <f>(O39+O40+O41)*'COMMISSION PARAMETERS'!$E$18</f>
        <v>0</v>
      </c>
      <c r="P43" s="30">
        <f>(P39+P40+P41)*'COMMISSION PARAMETERS'!$E$18</f>
        <v>0</v>
      </c>
      <c r="Q43" s="30">
        <f>(Q39+Q40+Q41)*'COMMISSION PARAMETERS'!$E$18</f>
        <v>0</v>
      </c>
      <c r="R43" s="30">
        <f>(R39+R40+R41)*'COMMISSION PARAMETERS'!$E$18</f>
        <v>0</v>
      </c>
      <c r="S43" s="30">
        <f>(S39+S40+S41)*'COMMISSION PARAMETERS'!$E$18</f>
        <v>0</v>
      </c>
      <c r="T43" s="30">
        <f>(T39+T40+T41)*'COMMISSION PARAMETERS'!$E$18</f>
        <v>0</v>
      </c>
      <c r="U43" s="30">
        <f>(U39+U40+U41)*'COMMISSION PARAMETERS'!$E$18</f>
        <v>0</v>
      </c>
      <c r="V43" s="30">
        <f>(V39+V40+V41)*'COMMISSION PARAMETERS'!$E$18</f>
        <v>0</v>
      </c>
      <c r="W43" s="30">
        <f>(W39+W40+W41)*'COMMISSION PARAMETERS'!$E$18</f>
        <v>0</v>
      </c>
      <c r="X43" s="30">
        <f>(X39+X40+X41)*'COMMISSION PARAMETERS'!$E$18</f>
        <v>0</v>
      </c>
      <c r="Y43" s="30">
        <f>(Y39+Y40+Y41)*'COMMISSION PARAMETERS'!$E$18</f>
        <v>0</v>
      </c>
      <c r="Z43" s="30">
        <f>(Z39+Z40+Z41)*'COMMISSION PARAMETERS'!$E$18</f>
        <v>0</v>
      </c>
    </row>
    <row r="44" spans="2:26" x14ac:dyDescent="0.3">
      <c r="B44" s="14" t="s">
        <v>286</v>
      </c>
      <c r="C44" s="14" t="s">
        <v>287</v>
      </c>
      <c r="D44" s="23" t="s">
        <v>59</v>
      </c>
      <c r="G44" s="32">
        <f t="shared" ref="G44:Z44" si="7">G39+G40+G41+G42+G43</f>
        <v>0</v>
      </c>
      <c r="H44" s="32">
        <f t="shared" si="7"/>
        <v>0</v>
      </c>
      <c r="I44" s="32">
        <f t="shared" si="7"/>
        <v>0</v>
      </c>
      <c r="J44" s="32">
        <f t="shared" si="7"/>
        <v>0</v>
      </c>
      <c r="K44" s="32">
        <f t="shared" si="7"/>
        <v>0</v>
      </c>
      <c r="L44" s="32">
        <f t="shared" si="7"/>
        <v>0</v>
      </c>
      <c r="M44" s="32">
        <f t="shared" si="7"/>
        <v>0</v>
      </c>
      <c r="N44" s="32">
        <f t="shared" si="7"/>
        <v>0</v>
      </c>
      <c r="O44" s="32">
        <f t="shared" si="7"/>
        <v>0</v>
      </c>
      <c r="P44" s="32">
        <f t="shared" si="7"/>
        <v>0</v>
      </c>
      <c r="Q44" s="32">
        <f t="shared" si="7"/>
        <v>0</v>
      </c>
      <c r="R44" s="32">
        <f t="shared" si="7"/>
        <v>0</v>
      </c>
      <c r="S44" s="32">
        <f t="shared" si="7"/>
        <v>0</v>
      </c>
      <c r="T44" s="32">
        <f t="shared" si="7"/>
        <v>0</v>
      </c>
      <c r="U44" s="32">
        <f t="shared" si="7"/>
        <v>0</v>
      </c>
      <c r="V44" s="32">
        <f t="shared" si="7"/>
        <v>0</v>
      </c>
      <c r="W44" s="32">
        <f t="shared" si="7"/>
        <v>0</v>
      </c>
      <c r="X44" s="32">
        <f t="shared" si="7"/>
        <v>0</v>
      </c>
      <c r="Y44" s="32">
        <f t="shared" si="7"/>
        <v>0</v>
      </c>
      <c r="Z44" s="32">
        <f t="shared" si="7"/>
        <v>0</v>
      </c>
    </row>
    <row r="46" spans="2:26" x14ac:dyDescent="0.3">
      <c r="B46" s="93" t="s">
        <v>288</v>
      </c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5"/>
    </row>
    <row r="47" spans="2:26" x14ac:dyDescent="0.3">
      <c r="B47" s="5" t="s">
        <v>29</v>
      </c>
      <c r="C47" s="16" t="s">
        <v>219</v>
      </c>
      <c r="D47" s="5" t="s">
        <v>289</v>
      </c>
      <c r="G47" s="27" t="s">
        <v>221</v>
      </c>
      <c r="H47" s="27" t="s">
        <v>222</v>
      </c>
      <c r="I47" s="27" t="s">
        <v>223</v>
      </c>
      <c r="J47" s="27" t="s">
        <v>224</v>
      </c>
      <c r="K47" s="27" t="s">
        <v>225</v>
      </c>
      <c r="L47" s="27" t="s">
        <v>226</v>
      </c>
      <c r="M47" s="27" t="s">
        <v>227</v>
      </c>
      <c r="N47" s="27" t="s">
        <v>228</v>
      </c>
      <c r="O47" s="27" t="s">
        <v>229</v>
      </c>
      <c r="P47" s="27" t="s">
        <v>230</v>
      </c>
      <c r="Q47" s="28" t="s">
        <v>231</v>
      </c>
      <c r="R47" s="28" t="s">
        <v>232</v>
      </c>
      <c r="S47" s="28" t="s">
        <v>233</v>
      </c>
      <c r="T47" s="28" t="s">
        <v>234</v>
      </c>
      <c r="U47" s="28" t="s">
        <v>235</v>
      </c>
      <c r="V47" s="28" t="s">
        <v>236</v>
      </c>
      <c r="W47" s="28" t="s">
        <v>237</v>
      </c>
      <c r="X47" s="28" t="s">
        <v>238</v>
      </c>
      <c r="Y47" s="28" t="s">
        <v>239</v>
      </c>
      <c r="Z47" s="28" t="s">
        <v>240</v>
      </c>
    </row>
    <row r="48" spans="2:26" x14ac:dyDescent="0.3">
      <c r="B48" s="14" t="s">
        <v>290</v>
      </c>
      <c r="C48" s="14" t="s">
        <v>291</v>
      </c>
      <c r="D48" s="23" t="s">
        <v>289</v>
      </c>
      <c r="G48" s="43">
        <f t="shared" ref="G48:Z48" si="8">IFERROR(G44/(G29*1000),0)</f>
        <v>0</v>
      </c>
      <c r="H48" s="43">
        <f t="shared" si="8"/>
        <v>0</v>
      </c>
      <c r="I48" s="43">
        <f t="shared" si="8"/>
        <v>0</v>
      </c>
      <c r="J48" s="43">
        <f t="shared" si="8"/>
        <v>0</v>
      </c>
      <c r="K48" s="43">
        <f t="shared" si="8"/>
        <v>0</v>
      </c>
      <c r="L48" s="43">
        <f t="shared" si="8"/>
        <v>0</v>
      </c>
      <c r="M48" s="43">
        <f t="shared" si="8"/>
        <v>0</v>
      </c>
      <c r="N48" s="43">
        <f t="shared" si="8"/>
        <v>0</v>
      </c>
      <c r="O48" s="43">
        <f t="shared" si="8"/>
        <v>0</v>
      </c>
      <c r="P48" s="43">
        <f t="shared" si="8"/>
        <v>0</v>
      </c>
      <c r="Q48" s="43">
        <f t="shared" si="8"/>
        <v>0</v>
      </c>
      <c r="R48" s="43">
        <f t="shared" si="8"/>
        <v>0</v>
      </c>
      <c r="S48" s="43">
        <f t="shared" si="8"/>
        <v>0</v>
      </c>
      <c r="T48" s="43">
        <f t="shared" si="8"/>
        <v>0</v>
      </c>
      <c r="U48" s="43">
        <f t="shared" si="8"/>
        <v>0</v>
      </c>
      <c r="V48" s="43">
        <f t="shared" si="8"/>
        <v>0</v>
      </c>
      <c r="W48" s="43">
        <f t="shared" si="8"/>
        <v>0</v>
      </c>
      <c r="X48" s="43">
        <f t="shared" si="8"/>
        <v>0</v>
      </c>
      <c r="Y48" s="43">
        <f t="shared" si="8"/>
        <v>0</v>
      </c>
      <c r="Z48" s="43">
        <f t="shared" si="8"/>
        <v>0</v>
      </c>
    </row>
    <row r="51" spans="2:26" x14ac:dyDescent="0.3">
      <c r="B51" s="93" t="s">
        <v>292</v>
      </c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5"/>
    </row>
    <row r="52" spans="2:26" x14ac:dyDescent="0.3">
      <c r="B52" s="5" t="s">
        <v>29</v>
      </c>
      <c r="C52" s="16" t="s">
        <v>219</v>
      </c>
      <c r="D52" s="5" t="s">
        <v>59</v>
      </c>
      <c r="G52" s="27" t="s">
        <v>221</v>
      </c>
      <c r="H52" s="27" t="s">
        <v>222</v>
      </c>
      <c r="I52" s="27" t="s">
        <v>223</v>
      </c>
      <c r="J52" s="27" t="s">
        <v>224</v>
      </c>
      <c r="K52" s="27" t="s">
        <v>225</v>
      </c>
      <c r="L52" s="27" t="s">
        <v>226</v>
      </c>
      <c r="M52" s="27" t="s">
        <v>227</v>
      </c>
      <c r="N52" s="27" t="s">
        <v>228</v>
      </c>
      <c r="O52" s="27" t="s">
        <v>229</v>
      </c>
      <c r="P52" s="27" t="s">
        <v>230</v>
      </c>
      <c r="Q52" s="28" t="s">
        <v>231</v>
      </c>
      <c r="R52" s="28" t="s">
        <v>232</v>
      </c>
      <c r="S52" s="28" t="s">
        <v>233</v>
      </c>
      <c r="T52" s="28" t="s">
        <v>234</v>
      </c>
      <c r="U52" s="28" t="s">
        <v>235</v>
      </c>
      <c r="V52" s="28" t="s">
        <v>236</v>
      </c>
      <c r="W52" s="28" t="s">
        <v>237</v>
      </c>
      <c r="X52" s="28" t="s">
        <v>238</v>
      </c>
      <c r="Y52" s="28" t="s">
        <v>239</v>
      </c>
      <c r="Z52" s="28" t="s">
        <v>240</v>
      </c>
    </row>
    <row r="53" spans="2:26" x14ac:dyDescent="0.3">
      <c r="B53" s="5" t="s">
        <v>103</v>
      </c>
      <c r="C53" s="20" t="s">
        <v>293</v>
      </c>
      <c r="D53" s="5" t="s">
        <v>59</v>
      </c>
      <c r="G53" s="44">
        <f>G44*MIN('DEVELOPER INPUTS'!$E$44+(1-1)*'DEVELOPER INPUTS'!$E$50,'DEVELOPER INPUTS'!$E$51)</f>
        <v>0</v>
      </c>
      <c r="H53" s="44">
        <f>H44*MIN('DEVELOPER INPUTS'!$E$44+(2-1)*'DEVELOPER INPUTS'!$E$50,'DEVELOPER INPUTS'!$E$51)</f>
        <v>0</v>
      </c>
      <c r="I53" s="44">
        <f>I44*MIN('DEVELOPER INPUTS'!$E$44+(3-1)*'DEVELOPER INPUTS'!$E$50,'DEVELOPER INPUTS'!$E$51)</f>
        <v>0</v>
      </c>
      <c r="J53" s="44">
        <f>J44*MIN('DEVELOPER INPUTS'!$E$44+(4-1)*'DEVELOPER INPUTS'!$E$50,'DEVELOPER INPUTS'!$E$51)</f>
        <v>0</v>
      </c>
      <c r="K53" s="44">
        <f>K44*MIN('DEVELOPER INPUTS'!$E$44+(5-1)*'DEVELOPER INPUTS'!$E$50,'DEVELOPER INPUTS'!$E$51)</f>
        <v>0</v>
      </c>
      <c r="L53" s="44">
        <f>L44*MIN('DEVELOPER INPUTS'!$E$44+(6-1)*'DEVELOPER INPUTS'!$E$50,'DEVELOPER INPUTS'!$E$51)</f>
        <v>0</v>
      </c>
      <c r="M53" s="44">
        <f>M44*MIN('DEVELOPER INPUTS'!$E$44+(7-1)*'DEVELOPER INPUTS'!$E$50,'DEVELOPER INPUTS'!$E$51)</f>
        <v>0</v>
      </c>
      <c r="N53" s="44">
        <f>N44*MIN('DEVELOPER INPUTS'!$E$44+(8-1)*'DEVELOPER INPUTS'!$E$50,'DEVELOPER INPUTS'!$E$51)</f>
        <v>0</v>
      </c>
      <c r="O53" s="44">
        <f>O44*MIN('DEVELOPER INPUTS'!$E$44+(9-1)*'DEVELOPER INPUTS'!$E$50,'DEVELOPER INPUTS'!$E$51)</f>
        <v>0</v>
      </c>
      <c r="P53" s="44">
        <f>P44*MIN('DEVELOPER INPUTS'!$E$44+(10-1)*'DEVELOPER INPUTS'!$E$50,'DEVELOPER INPUTS'!$E$51)</f>
        <v>0</v>
      </c>
      <c r="Q53" s="44">
        <f>Q44*MIN('DEVELOPER INPUTS'!$E$44+(11-1)*'DEVELOPER INPUTS'!$E$50,'DEVELOPER INPUTS'!$E$51)</f>
        <v>0</v>
      </c>
      <c r="R53" s="44">
        <f>R44*MIN('DEVELOPER INPUTS'!$E$44+(12-1)*'DEVELOPER INPUTS'!$E$50,'DEVELOPER INPUTS'!$E$51)</f>
        <v>0</v>
      </c>
      <c r="S53" s="44">
        <f>S44*MIN('DEVELOPER INPUTS'!$E$44+(13-1)*'DEVELOPER INPUTS'!$E$50,'DEVELOPER INPUTS'!$E$51)</f>
        <v>0</v>
      </c>
      <c r="T53" s="44">
        <f>T44*MIN('DEVELOPER INPUTS'!$E$44+(14-1)*'DEVELOPER INPUTS'!$E$50,'DEVELOPER INPUTS'!$E$51)</f>
        <v>0</v>
      </c>
      <c r="U53" s="44">
        <f>U44*MIN('DEVELOPER INPUTS'!$E$44+(15-1)*'DEVELOPER INPUTS'!$E$50,'DEVELOPER INPUTS'!$E$51)</f>
        <v>0</v>
      </c>
      <c r="V53" s="44">
        <f>V44*MIN('DEVELOPER INPUTS'!$E$44+(16-1)*'DEVELOPER INPUTS'!$E$50,'DEVELOPER INPUTS'!$E$51)</f>
        <v>0</v>
      </c>
      <c r="W53" s="44">
        <f>W44*MIN('DEVELOPER INPUTS'!$E$44+(17-1)*'DEVELOPER INPUTS'!$E$50,'DEVELOPER INPUTS'!$E$51)</f>
        <v>0</v>
      </c>
      <c r="X53" s="44">
        <f>X44*MIN('DEVELOPER INPUTS'!$E$44+(18-1)*'DEVELOPER INPUTS'!$E$50,'DEVELOPER INPUTS'!$E$51)</f>
        <v>0</v>
      </c>
      <c r="Y53" s="44">
        <f>Y44*MIN('DEVELOPER INPUTS'!$E$44+(19-1)*'DEVELOPER INPUTS'!$E$50,'DEVELOPER INPUTS'!$E$51)</f>
        <v>0</v>
      </c>
      <c r="Z53" s="44">
        <f>Z44*MIN('DEVELOPER INPUTS'!$E$44+(20-1)*'DEVELOPER INPUTS'!$E$50,'DEVELOPER INPUTS'!$E$51)</f>
        <v>0</v>
      </c>
    </row>
    <row r="54" spans="2:26" x14ac:dyDescent="0.3">
      <c r="B54" s="5" t="s">
        <v>106</v>
      </c>
      <c r="C54" s="20" t="s">
        <v>294</v>
      </c>
      <c r="D54" s="5" t="s">
        <v>59</v>
      </c>
      <c r="G54" s="44">
        <f t="shared" ref="G54:Z54" si="9">-(G41+G42)</f>
        <v>0</v>
      </c>
      <c r="H54" s="44">
        <f t="shared" si="9"/>
        <v>0</v>
      </c>
      <c r="I54" s="44">
        <f t="shared" si="9"/>
        <v>0</v>
      </c>
      <c r="J54" s="44">
        <f t="shared" si="9"/>
        <v>0</v>
      </c>
      <c r="K54" s="44">
        <f t="shared" si="9"/>
        <v>0</v>
      </c>
      <c r="L54" s="44">
        <f t="shared" si="9"/>
        <v>0</v>
      </c>
      <c r="M54" s="44">
        <f t="shared" si="9"/>
        <v>0</v>
      </c>
      <c r="N54" s="44">
        <f t="shared" si="9"/>
        <v>0</v>
      </c>
      <c r="O54" s="44">
        <f t="shared" si="9"/>
        <v>0</v>
      </c>
      <c r="P54" s="44">
        <f t="shared" si="9"/>
        <v>0</v>
      </c>
      <c r="Q54" s="44">
        <f t="shared" si="9"/>
        <v>0</v>
      </c>
      <c r="R54" s="44">
        <f t="shared" si="9"/>
        <v>0</v>
      </c>
      <c r="S54" s="44">
        <f t="shared" si="9"/>
        <v>0</v>
      </c>
      <c r="T54" s="44">
        <f t="shared" si="9"/>
        <v>0</v>
      </c>
      <c r="U54" s="44">
        <f t="shared" si="9"/>
        <v>0</v>
      </c>
      <c r="V54" s="44">
        <f t="shared" si="9"/>
        <v>0</v>
      </c>
      <c r="W54" s="44">
        <f t="shared" si="9"/>
        <v>0</v>
      </c>
      <c r="X54" s="44">
        <f t="shared" si="9"/>
        <v>0</v>
      </c>
      <c r="Y54" s="44">
        <f t="shared" si="9"/>
        <v>0</v>
      </c>
      <c r="Z54" s="44">
        <f t="shared" si="9"/>
        <v>0</v>
      </c>
    </row>
    <row r="55" spans="2:26" x14ac:dyDescent="0.3">
      <c r="B55" s="5" t="s">
        <v>295</v>
      </c>
      <c r="C55" s="14" t="s">
        <v>296</v>
      </c>
      <c r="D55" s="5" t="s">
        <v>59</v>
      </c>
      <c r="G55" s="45">
        <f t="shared" ref="G55:Z55" si="10">G53+G54</f>
        <v>0</v>
      </c>
      <c r="H55" s="45">
        <f t="shared" si="10"/>
        <v>0</v>
      </c>
      <c r="I55" s="45">
        <f t="shared" si="10"/>
        <v>0</v>
      </c>
      <c r="J55" s="45">
        <f t="shared" si="10"/>
        <v>0</v>
      </c>
      <c r="K55" s="45">
        <f t="shared" si="10"/>
        <v>0</v>
      </c>
      <c r="L55" s="45">
        <f t="shared" si="10"/>
        <v>0</v>
      </c>
      <c r="M55" s="45">
        <f t="shared" si="10"/>
        <v>0</v>
      </c>
      <c r="N55" s="45">
        <f t="shared" si="10"/>
        <v>0</v>
      </c>
      <c r="O55" s="45">
        <f t="shared" si="10"/>
        <v>0</v>
      </c>
      <c r="P55" s="45">
        <f t="shared" si="10"/>
        <v>0</v>
      </c>
      <c r="Q55" s="45">
        <f t="shared" si="10"/>
        <v>0</v>
      </c>
      <c r="R55" s="45">
        <f t="shared" si="10"/>
        <v>0</v>
      </c>
      <c r="S55" s="45">
        <f t="shared" si="10"/>
        <v>0</v>
      </c>
      <c r="T55" s="45">
        <f t="shared" si="10"/>
        <v>0</v>
      </c>
      <c r="U55" s="45">
        <f t="shared" si="10"/>
        <v>0</v>
      </c>
      <c r="V55" s="45">
        <f t="shared" si="10"/>
        <v>0</v>
      </c>
      <c r="W55" s="45">
        <f t="shared" si="10"/>
        <v>0</v>
      </c>
      <c r="X55" s="45">
        <f t="shared" si="10"/>
        <v>0</v>
      </c>
      <c r="Y55" s="45">
        <f t="shared" si="10"/>
        <v>0</v>
      </c>
      <c r="Z55" s="45">
        <f t="shared" si="10"/>
        <v>0</v>
      </c>
    </row>
    <row r="56" spans="2:26" x14ac:dyDescent="0.3">
      <c r="B56" s="5" t="s">
        <v>110</v>
      </c>
      <c r="C56" s="20" t="s">
        <v>297</v>
      </c>
      <c r="D56" s="5" t="s">
        <v>59</v>
      </c>
      <c r="G56" s="44">
        <f t="shared" ref="G56:Z56" si="11">-G40</f>
        <v>0</v>
      </c>
      <c r="H56" s="44">
        <f t="shared" si="11"/>
        <v>0</v>
      </c>
      <c r="I56" s="44">
        <f t="shared" si="11"/>
        <v>0</v>
      </c>
      <c r="J56" s="44">
        <f t="shared" si="11"/>
        <v>0</v>
      </c>
      <c r="K56" s="44">
        <f t="shared" si="11"/>
        <v>0</v>
      </c>
      <c r="L56" s="44">
        <f t="shared" si="11"/>
        <v>0</v>
      </c>
      <c r="M56" s="44">
        <f t="shared" si="11"/>
        <v>0</v>
      </c>
      <c r="N56" s="44">
        <f t="shared" si="11"/>
        <v>0</v>
      </c>
      <c r="O56" s="44">
        <f t="shared" si="11"/>
        <v>0</v>
      </c>
      <c r="P56" s="44">
        <f t="shared" si="11"/>
        <v>0</v>
      </c>
      <c r="Q56" s="44">
        <f t="shared" si="11"/>
        <v>0</v>
      </c>
      <c r="R56" s="44">
        <f t="shared" si="11"/>
        <v>0</v>
      </c>
      <c r="S56" s="44">
        <f t="shared" si="11"/>
        <v>0</v>
      </c>
      <c r="T56" s="44">
        <f t="shared" si="11"/>
        <v>0</v>
      </c>
      <c r="U56" s="44">
        <f t="shared" si="11"/>
        <v>0</v>
      </c>
      <c r="V56" s="44">
        <f t="shared" si="11"/>
        <v>0</v>
      </c>
      <c r="W56" s="44">
        <f t="shared" si="11"/>
        <v>0</v>
      </c>
      <c r="X56" s="44">
        <f t="shared" si="11"/>
        <v>0</v>
      </c>
      <c r="Y56" s="44">
        <f t="shared" si="11"/>
        <v>0</v>
      </c>
      <c r="Z56" s="44">
        <f t="shared" si="11"/>
        <v>0</v>
      </c>
    </row>
    <row r="57" spans="2:26" x14ac:dyDescent="0.3">
      <c r="B57" s="5" t="s">
        <v>298</v>
      </c>
      <c r="C57" s="14" t="s">
        <v>299</v>
      </c>
      <c r="D57" s="5" t="s">
        <v>59</v>
      </c>
      <c r="G57" s="45">
        <f t="shared" ref="G57:Z57" si="12">G55+G56</f>
        <v>0</v>
      </c>
      <c r="H57" s="45">
        <f t="shared" si="12"/>
        <v>0</v>
      </c>
      <c r="I57" s="45">
        <f t="shared" si="12"/>
        <v>0</v>
      </c>
      <c r="J57" s="45">
        <f t="shared" si="12"/>
        <v>0</v>
      </c>
      <c r="K57" s="45">
        <f t="shared" si="12"/>
        <v>0</v>
      </c>
      <c r="L57" s="45">
        <f t="shared" si="12"/>
        <v>0</v>
      </c>
      <c r="M57" s="45">
        <f t="shared" si="12"/>
        <v>0</v>
      </c>
      <c r="N57" s="45">
        <f t="shared" si="12"/>
        <v>0</v>
      </c>
      <c r="O57" s="45">
        <f t="shared" si="12"/>
        <v>0</v>
      </c>
      <c r="P57" s="45">
        <f t="shared" si="12"/>
        <v>0</v>
      </c>
      <c r="Q57" s="45">
        <f t="shared" si="12"/>
        <v>0</v>
      </c>
      <c r="R57" s="45">
        <f t="shared" si="12"/>
        <v>0</v>
      </c>
      <c r="S57" s="45">
        <f t="shared" si="12"/>
        <v>0</v>
      </c>
      <c r="T57" s="45">
        <f t="shared" si="12"/>
        <v>0</v>
      </c>
      <c r="U57" s="45">
        <f t="shared" si="12"/>
        <v>0</v>
      </c>
      <c r="V57" s="45">
        <f t="shared" si="12"/>
        <v>0</v>
      </c>
      <c r="W57" s="45">
        <f t="shared" si="12"/>
        <v>0</v>
      </c>
      <c r="X57" s="45">
        <f t="shared" si="12"/>
        <v>0</v>
      </c>
      <c r="Y57" s="45">
        <f t="shared" si="12"/>
        <v>0</v>
      </c>
      <c r="Z57" s="45">
        <f t="shared" si="12"/>
        <v>0</v>
      </c>
    </row>
    <row r="58" spans="2:26" x14ac:dyDescent="0.3">
      <c r="B58" s="5" t="s">
        <v>114</v>
      </c>
      <c r="C58" s="20" t="s">
        <v>300</v>
      </c>
      <c r="D58" s="5" t="s">
        <v>59</v>
      </c>
      <c r="G58" s="44">
        <f t="shared" ref="G58:Z58" si="13">-G15</f>
        <v>0</v>
      </c>
      <c r="H58" s="44">
        <f t="shared" si="13"/>
        <v>0</v>
      </c>
      <c r="I58" s="44">
        <f t="shared" si="13"/>
        <v>0</v>
      </c>
      <c r="J58" s="44">
        <f t="shared" si="13"/>
        <v>0</v>
      </c>
      <c r="K58" s="44">
        <f t="shared" si="13"/>
        <v>0</v>
      </c>
      <c r="L58" s="44">
        <f t="shared" si="13"/>
        <v>0</v>
      </c>
      <c r="M58" s="44">
        <f t="shared" si="13"/>
        <v>0</v>
      </c>
      <c r="N58" s="44">
        <f t="shared" si="13"/>
        <v>0</v>
      </c>
      <c r="O58" s="44">
        <f t="shared" si="13"/>
        <v>0</v>
      </c>
      <c r="P58" s="44">
        <f t="shared" si="13"/>
        <v>0</v>
      </c>
      <c r="Q58" s="44">
        <f t="shared" si="13"/>
        <v>0</v>
      </c>
      <c r="R58" s="44">
        <f t="shared" si="13"/>
        <v>0</v>
      </c>
      <c r="S58" s="44">
        <f t="shared" si="13"/>
        <v>0</v>
      </c>
      <c r="T58" s="44">
        <f t="shared" si="13"/>
        <v>0</v>
      </c>
      <c r="U58" s="44">
        <f t="shared" si="13"/>
        <v>0</v>
      </c>
      <c r="V58" s="44">
        <f t="shared" si="13"/>
        <v>0</v>
      </c>
      <c r="W58" s="44">
        <f t="shared" si="13"/>
        <v>0</v>
      </c>
      <c r="X58" s="44">
        <f t="shared" si="13"/>
        <v>0</v>
      </c>
      <c r="Y58" s="44">
        <f t="shared" si="13"/>
        <v>0</v>
      </c>
      <c r="Z58" s="44">
        <f t="shared" si="13"/>
        <v>0</v>
      </c>
    </row>
    <row r="59" spans="2:26" x14ac:dyDescent="0.3">
      <c r="B59" s="5" t="s">
        <v>301</v>
      </c>
      <c r="C59" s="20" t="s">
        <v>302</v>
      </c>
      <c r="D59" s="5" t="s">
        <v>59</v>
      </c>
      <c r="G59" s="44">
        <f>-'COMMISSION PARAMETERS'!$E$9*MAX(G57,0)</f>
        <v>0</v>
      </c>
      <c r="H59" s="44">
        <f>-'COMMISSION PARAMETERS'!$E$9*MAX(H57,0)</f>
        <v>0</v>
      </c>
      <c r="I59" s="44">
        <f>-'COMMISSION PARAMETERS'!$E$9*MAX(I57,0)</f>
        <v>0</v>
      </c>
      <c r="J59" s="44">
        <f>-'COMMISSION PARAMETERS'!$E$9*MAX(J57,0)</f>
        <v>0</v>
      </c>
      <c r="K59" s="44">
        <f>-'COMMISSION PARAMETERS'!$E$9*MAX(K57,0)</f>
        <v>0</v>
      </c>
      <c r="L59" s="44">
        <f>-'COMMISSION PARAMETERS'!$E$9*MAX(L57,0)</f>
        <v>0</v>
      </c>
      <c r="M59" s="44">
        <f>-'COMMISSION PARAMETERS'!$E$9*MAX(M57,0)</f>
        <v>0</v>
      </c>
      <c r="N59" s="44">
        <f>-'COMMISSION PARAMETERS'!$E$9*MAX(N57,0)</f>
        <v>0</v>
      </c>
      <c r="O59" s="44">
        <f>-'COMMISSION PARAMETERS'!$E$9*MAX(O57,0)</f>
        <v>0</v>
      </c>
      <c r="P59" s="44">
        <f>-'COMMISSION PARAMETERS'!$E$9*MAX(P57,0)</f>
        <v>0</v>
      </c>
      <c r="Q59" s="44">
        <f>-'COMMISSION PARAMETERS'!$E$9*MAX(Q57,0)</f>
        <v>0</v>
      </c>
      <c r="R59" s="44">
        <f>-'COMMISSION PARAMETERS'!$E$9*MAX(R57,0)</f>
        <v>0</v>
      </c>
      <c r="S59" s="44">
        <f>-'COMMISSION PARAMETERS'!$E$9*MAX(S57,0)</f>
        <v>0</v>
      </c>
      <c r="T59" s="44">
        <f>-'COMMISSION PARAMETERS'!$E$9*MAX(T57,0)</f>
        <v>0</v>
      </c>
      <c r="U59" s="44">
        <f>-'COMMISSION PARAMETERS'!$E$9*MAX(U57,0)</f>
        <v>0</v>
      </c>
      <c r="V59" s="44">
        <f>-'COMMISSION PARAMETERS'!$E$9*MAX(V57,0)</f>
        <v>0</v>
      </c>
      <c r="W59" s="44">
        <f>-'COMMISSION PARAMETERS'!$E$9*MAX(W57,0)</f>
        <v>0</v>
      </c>
      <c r="X59" s="44">
        <f>-'COMMISSION PARAMETERS'!$E$9*MAX(X57,0)</f>
        <v>0</v>
      </c>
      <c r="Y59" s="44">
        <f>-'COMMISSION PARAMETERS'!$E$9*MAX(Y57,0)</f>
        <v>0</v>
      </c>
      <c r="Z59" s="44">
        <f>-'COMMISSION PARAMETERS'!$E$9*MAX(Z57,0)</f>
        <v>0</v>
      </c>
    </row>
    <row r="60" spans="2:26" x14ac:dyDescent="0.3">
      <c r="B60" s="5" t="s">
        <v>303</v>
      </c>
      <c r="C60" s="14" t="s">
        <v>304</v>
      </c>
      <c r="D60" s="5" t="s">
        <v>59</v>
      </c>
      <c r="G60" s="45">
        <f t="shared" ref="G60:Z60" si="14">G57+G58+G59</f>
        <v>0</v>
      </c>
      <c r="H60" s="45">
        <f t="shared" si="14"/>
        <v>0</v>
      </c>
      <c r="I60" s="45">
        <f t="shared" si="14"/>
        <v>0</v>
      </c>
      <c r="J60" s="45">
        <f t="shared" si="14"/>
        <v>0</v>
      </c>
      <c r="K60" s="45">
        <f t="shared" si="14"/>
        <v>0</v>
      </c>
      <c r="L60" s="45">
        <f t="shared" si="14"/>
        <v>0</v>
      </c>
      <c r="M60" s="45">
        <f t="shared" si="14"/>
        <v>0</v>
      </c>
      <c r="N60" s="45">
        <f t="shared" si="14"/>
        <v>0</v>
      </c>
      <c r="O60" s="45">
        <f t="shared" si="14"/>
        <v>0</v>
      </c>
      <c r="P60" s="45">
        <f t="shared" si="14"/>
        <v>0</v>
      </c>
      <c r="Q60" s="45">
        <f t="shared" si="14"/>
        <v>0</v>
      </c>
      <c r="R60" s="45">
        <f t="shared" si="14"/>
        <v>0</v>
      </c>
      <c r="S60" s="45">
        <f t="shared" si="14"/>
        <v>0</v>
      </c>
      <c r="T60" s="45">
        <f t="shared" si="14"/>
        <v>0</v>
      </c>
      <c r="U60" s="45">
        <f t="shared" si="14"/>
        <v>0</v>
      </c>
      <c r="V60" s="45">
        <f t="shared" si="14"/>
        <v>0</v>
      </c>
      <c r="W60" s="45">
        <f t="shared" si="14"/>
        <v>0</v>
      </c>
      <c r="X60" s="45">
        <f t="shared" si="14"/>
        <v>0</v>
      </c>
      <c r="Y60" s="45">
        <f t="shared" si="14"/>
        <v>0</v>
      </c>
      <c r="Z60" s="45">
        <f t="shared" si="14"/>
        <v>0</v>
      </c>
    </row>
    <row r="61" spans="2:26" x14ac:dyDescent="0.3">
      <c r="B61" s="5" t="s">
        <v>305</v>
      </c>
      <c r="C61" s="20" t="s">
        <v>306</v>
      </c>
      <c r="D61" s="5" t="s">
        <v>199</v>
      </c>
      <c r="G61" s="46">
        <f t="shared" ref="G61:Z61" si="15">IF(G15&gt;0,IFERROR(G55/G15,0),0)</f>
        <v>0</v>
      </c>
      <c r="H61" s="46">
        <f t="shared" si="15"/>
        <v>0</v>
      </c>
      <c r="I61" s="46">
        <f t="shared" si="15"/>
        <v>0</v>
      </c>
      <c r="J61" s="46">
        <f t="shared" si="15"/>
        <v>0</v>
      </c>
      <c r="K61" s="46">
        <f t="shared" si="15"/>
        <v>0</v>
      </c>
      <c r="L61" s="46">
        <f t="shared" si="15"/>
        <v>0</v>
      </c>
      <c r="M61" s="46">
        <f t="shared" si="15"/>
        <v>0</v>
      </c>
      <c r="N61" s="46">
        <f t="shared" si="15"/>
        <v>0</v>
      </c>
      <c r="O61" s="46">
        <f t="shared" si="15"/>
        <v>0</v>
      </c>
      <c r="P61" s="46">
        <f t="shared" si="15"/>
        <v>0</v>
      </c>
      <c r="Q61" s="46">
        <f t="shared" si="15"/>
        <v>0</v>
      </c>
      <c r="R61" s="46">
        <f t="shared" si="15"/>
        <v>0</v>
      </c>
      <c r="S61" s="46">
        <f t="shared" si="15"/>
        <v>0</v>
      </c>
      <c r="T61" s="46">
        <f t="shared" si="15"/>
        <v>0</v>
      </c>
      <c r="U61" s="46">
        <f t="shared" si="15"/>
        <v>0</v>
      </c>
      <c r="V61" s="46">
        <f t="shared" si="15"/>
        <v>0</v>
      </c>
      <c r="W61" s="46">
        <f t="shared" si="15"/>
        <v>0</v>
      </c>
      <c r="X61" s="46">
        <f t="shared" si="15"/>
        <v>0</v>
      </c>
      <c r="Y61" s="46">
        <f t="shared" si="15"/>
        <v>0</v>
      </c>
      <c r="Z61" s="46">
        <f t="shared" si="15"/>
        <v>0</v>
      </c>
    </row>
    <row r="63" spans="2:26" x14ac:dyDescent="0.3">
      <c r="B63" s="5" t="s">
        <v>307</v>
      </c>
      <c r="C63" s="20" t="s">
        <v>308</v>
      </c>
      <c r="D63" s="5" t="s">
        <v>59</v>
      </c>
      <c r="G63" s="44">
        <f>IFERROR(NPV(20%,G68:Z68)+F68,0)</f>
        <v>0</v>
      </c>
      <c r="H63" s="20" t="s">
        <v>309</v>
      </c>
    </row>
    <row r="64" spans="2:26" x14ac:dyDescent="0.3">
      <c r="B64" s="5" t="s">
        <v>310</v>
      </c>
      <c r="C64" s="20" t="s">
        <v>311</v>
      </c>
      <c r="D64" s="5" t="s">
        <v>59</v>
      </c>
      <c r="G64" s="44">
        <f>IFERROR(NPV(25%,G68:Z68)+F68,0)</f>
        <v>0</v>
      </c>
    </row>
    <row r="66" spans="2:26" x14ac:dyDescent="0.3">
      <c r="B66" s="47" t="s">
        <v>312</v>
      </c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</row>
    <row r="67" spans="2:26" x14ac:dyDescent="0.3">
      <c r="B67" s="48" t="s">
        <v>29</v>
      </c>
      <c r="C67" s="48" t="s">
        <v>219</v>
      </c>
      <c r="D67" s="48" t="s">
        <v>220</v>
      </c>
      <c r="E67" s="48"/>
      <c r="F67" s="48" t="s">
        <v>313</v>
      </c>
      <c r="G67" s="48" t="s">
        <v>221</v>
      </c>
      <c r="H67" s="48" t="s">
        <v>222</v>
      </c>
      <c r="I67" s="48" t="s">
        <v>223</v>
      </c>
      <c r="J67" s="48" t="s">
        <v>224</v>
      </c>
      <c r="K67" s="48" t="s">
        <v>225</v>
      </c>
      <c r="L67" s="48" t="s">
        <v>226</v>
      </c>
      <c r="M67" s="48" t="s">
        <v>227</v>
      </c>
      <c r="N67" s="48" t="s">
        <v>228</v>
      </c>
      <c r="O67" s="48" t="s">
        <v>229</v>
      </c>
      <c r="P67" s="48" t="s">
        <v>230</v>
      </c>
      <c r="Q67" s="48" t="s">
        <v>231</v>
      </c>
      <c r="R67" s="48" t="s">
        <v>232</v>
      </c>
      <c r="S67" s="48" t="s">
        <v>233</v>
      </c>
      <c r="T67" s="48" t="s">
        <v>234</v>
      </c>
      <c r="U67" s="48" t="s">
        <v>235</v>
      </c>
      <c r="V67" s="48" t="s">
        <v>236</v>
      </c>
      <c r="W67" s="48" t="s">
        <v>237</v>
      </c>
      <c r="X67" s="48" t="s">
        <v>238</v>
      </c>
      <c r="Y67" s="48" t="s">
        <v>239</v>
      </c>
      <c r="Z67" s="48" t="s">
        <v>240</v>
      </c>
    </row>
    <row r="68" spans="2:26" x14ac:dyDescent="0.3">
      <c r="B68" s="48" t="s">
        <v>314</v>
      </c>
      <c r="C68" s="48" t="s">
        <v>315</v>
      </c>
      <c r="D68" s="48" t="s">
        <v>59</v>
      </c>
      <c r="E68" s="48"/>
      <c r="F68" s="49">
        <f>-$G$14</f>
        <v>0</v>
      </c>
      <c r="G68" s="49">
        <f t="shared" ref="G68:Z68" si="16">G55+G59-G33</f>
        <v>0</v>
      </c>
      <c r="H68" s="49">
        <f t="shared" si="16"/>
        <v>0</v>
      </c>
      <c r="I68" s="49">
        <f t="shared" si="16"/>
        <v>0</v>
      </c>
      <c r="J68" s="49">
        <f t="shared" si="16"/>
        <v>0</v>
      </c>
      <c r="K68" s="49">
        <f t="shared" si="16"/>
        <v>0</v>
      </c>
      <c r="L68" s="49">
        <f t="shared" si="16"/>
        <v>0</v>
      </c>
      <c r="M68" s="49">
        <f t="shared" si="16"/>
        <v>0</v>
      </c>
      <c r="N68" s="49">
        <f t="shared" si="16"/>
        <v>0</v>
      </c>
      <c r="O68" s="49">
        <f t="shared" si="16"/>
        <v>0</v>
      </c>
      <c r="P68" s="49">
        <f t="shared" si="16"/>
        <v>0</v>
      </c>
      <c r="Q68" s="49">
        <f t="shared" si="16"/>
        <v>0</v>
      </c>
      <c r="R68" s="49">
        <f t="shared" si="16"/>
        <v>0</v>
      </c>
      <c r="S68" s="49">
        <f t="shared" si="16"/>
        <v>0</v>
      </c>
      <c r="T68" s="49">
        <f t="shared" si="16"/>
        <v>0</v>
      </c>
      <c r="U68" s="49">
        <f t="shared" si="16"/>
        <v>0</v>
      </c>
      <c r="V68" s="49">
        <f t="shared" si="16"/>
        <v>0</v>
      </c>
      <c r="W68" s="49">
        <f t="shared" si="16"/>
        <v>0</v>
      </c>
      <c r="X68" s="49">
        <f t="shared" si="16"/>
        <v>0</v>
      </c>
      <c r="Y68" s="49">
        <f t="shared" si="16"/>
        <v>0</v>
      </c>
      <c r="Z68" s="49">
        <f t="shared" si="16"/>
        <v>0</v>
      </c>
    </row>
    <row r="69" spans="2:26" x14ac:dyDescent="0.3">
      <c r="B69" s="48" t="s">
        <v>316</v>
      </c>
      <c r="C69" s="48" t="s">
        <v>317</v>
      </c>
      <c r="D69" s="48" t="s">
        <v>59</v>
      </c>
      <c r="E69" s="48"/>
      <c r="F69" s="49">
        <f>-'DEVELOPER INPUTS'!$E$28</f>
        <v>0</v>
      </c>
      <c r="G69" s="49">
        <f t="shared" ref="G69:Z69" si="17">G60</f>
        <v>0</v>
      </c>
      <c r="H69" s="49">
        <f t="shared" si="17"/>
        <v>0</v>
      </c>
      <c r="I69" s="49">
        <f t="shared" si="17"/>
        <v>0</v>
      </c>
      <c r="J69" s="49">
        <f t="shared" si="17"/>
        <v>0</v>
      </c>
      <c r="K69" s="49">
        <f t="shared" si="17"/>
        <v>0</v>
      </c>
      <c r="L69" s="49">
        <f t="shared" si="17"/>
        <v>0</v>
      </c>
      <c r="M69" s="49">
        <f t="shared" si="17"/>
        <v>0</v>
      </c>
      <c r="N69" s="49">
        <f t="shared" si="17"/>
        <v>0</v>
      </c>
      <c r="O69" s="49">
        <f t="shared" si="17"/>
        <v>0</v>
      </c>
      <c r="P69" s="49">
        <f t="shared" si="17"/>
        <v>0</v>
      </c>
      <c r="Q69" s="49">
        <f t="shared" si="17"/>
        <v>0</v>
      </c>
      <c r="R69" s="49">
        <f t="shared" si="17"/>
        <v>0</v>
      </c>
      <c r="S69" s="49">
        <f t="shared" si="17"/>
        <v>0</v>
      </c>
      <c r="T69" s="49">
        <f t="shared" si="17"/>
        <v>0</v>
      </c>
      <c r="U69" s="49">
        <f t="shared" si="17"/>
        <v>0</v>
      </c>
      <c r="V69" s="49">
        <f t="shared" si="17"/>
        <v>0</v>
      </c>
      <c r="W69" s="49">
        <f t="shared" si="17"/>
        <v>0</v>
      </c>
      <c r="X69" s="49">
        <f t="shared" si="17"/>
        <v>0</v>
      </c>
      <c r="Y69" s="49">
        <f t="shared" si="17"/>
        <v>0</v>
      </c>
      <c r="Z69" s="49">
        <f t="shared" si="17"/>
        <v>0</v>
      </c>
    </row>
    <row r="70" spans="2:26" x14ac:dyDescent="0.3">
      <c r="B70" s="48" t="s">
        <v>318</v>
      </c>
      <c r="C70" s="48" t="s">
        <v>319</v>
      </c>
      <c r="D70" s="48" t="s">
        <v>112</v>
      </c>
      <c r="E70" s="48"/>
      <c r="F70" s="48"/>
      <c r="G70" s="50">
        <f>IFERROR(IRR(F68:Z68),0)</f>
        <v>0</v>
      </c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spans="2:26" x14ac:dyDescent="0.3">
      <c r="B71" s="48" t="s">
        <v>320</v>
      </c>
      <c r="C71" s="48" t="s">
        <v>321</v>
      </c>
      <c r="D71" s="48" t="s">
        <v>112</v>
      </c>
      <c r="E71" s="48"/>
      <c r="F71" s="48"/>
      <c r="G71" s="50">
        <f>IFERROR(IRR(F69:Z69),0)</f>
        <v>0</v>
      </c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spans="2:26" x14ac:dyDescent="0.3">
      <c r="B72" s="48" t="s">
        <v>322</v>
      </c>
      <c r="C72" s="48" t="s">
        <v>323</v>
      </c>
      <c r="D72" s="48" t="s">
        <v>59</v>
      </c>
      <c r="E72" s="48"/>
      <c r="F72" s="48"/>
      <c r="G72" s="49">
        <f>IFERROR(NPV('COMMISSION PARAMETERS'!$E$15,G68:Z68)+F68,0)</f>
        <v>0</v>
      </c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spans="2:26" x14ac:dyDescent="0.3">
      <c r="B73" s="48" t="s">
        <v>324</v>
      </c>
      <c r="C73" s="48" t="s">
        <v>325</v>
      </c>
      <c r="D73" s="48" t="s">
        <v>199</v>
      </c>
      <c r="E73" s="48"/>
      <c r="F73" s="48"/>
      <c r="G73" s="51">
        <f ca="1">IFERROR(_xludf.MINIFS(G61:Z61,G15:Z15,"&gt;0"),0)</f>
        <v>0</v>
      </c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</sheetData>
  <mergeCells count="7">
    <mergeCell ref="B2:Y2"/>
    <mergeCell ref="B51:U51"/>
    <mergeCell ref="B6:E6"/>
    <mergeCell ref="B3:Y3"/>
    <mergeCell ref="B37:U37"/>
    <mergeCell ref="B46:U46"/>
    <mergeCell ref="B18:U18"/>
  </mergeCells>
  <phoneticPr fontId="3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9"/>
  <sheetViews>
    <sheetView showGridLines="0" zoomScale="85" zoomScaleNormal="85" workbookViewId="0">
      <selection activeCell="C15" sqref="C15"/>
    </sheetView>
  </sheetViews>
  <sheetFormatPr defaultRowHeight="14.4" x14ac:dyDescent="0.3"/>
  <cols>
    <col min="1" max="1" width="2" style="1" customWidth="1"/>
    <col min="2" max="2" width="13.21875" style="1" bestFit="1" customWidth="1"/>
    <col min="3" max="3" width="45" style="1" customWidth="1"/>
    <col min="4" max="4" width="6.5546875" style="1" customWidth="1"/>
    <col min="5" max="5" width="24.33203125" style="1" customWidth="1"/>
    <col min="6" max="6" width="56" style="1" customWidth="1"/>
    <col min="7" max="7" width="12.88671875" style="1" customWidth="1"/>
    <col min="8" max="8" width="20.21875" style="1" customWidth="1"/>
    <col min="9" max="9" width="24.6640625" style="1" customWidth="1"/>
    <col min="10" max="10" width="8.21875" style="1" customWidth="1"/>
    <col min="11" max="11" width="6.109375" style="1" customWidth="1"/>
    <col min="12" max="12" width="6.21875" style="1" customWidth="1"/>
    <col min="13" max="13" width="8.88671875" style="1" customWidth="1"/>
    <col min="14" max="16384" width="8.88671875" style="1"/>
  </cols>
  <sheetData>
    <row r="1" spans="1:25" ht="1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" customHeight="1" x14ac:dyDescent="0.3">
      <c r="A2" s="3"/>
      <c r="B2" s="96" t="s">
        <v>326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</row>
    <row r="3" spans="1:25" ht="15" customHeight="1" x14ac:dyDescent="0.3">
      <c r="A3" s="3"/>
      <c r="B3" s="97" t="s">
        <v>327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</row>
    <row r="5" spans="1:25" x14ac:dyDescent="0.3">
      <c r="B5" s="93" t="s">
        <v>328</v>
      </c>
      <c r="C5" s="94"/>
      <c r="D5" s="94"/>
      <c r="E5" s="94"/>
      <c r="F5" s="94"/>
      <c r="G5" s="94"/>
      <c r="H5" s="94"/>
      <c r="I5" s="94"/>
      <c r="J5" s="95"/>
    </row>
    <row r="6" spans="1:25" x14ac:dyDescent="0.3">
      <c r="B6" s="5" t="s">
        <v>329</v>
      </c>
      <c r="C6" s="20" t="s">
        <v>330</v>
      </c>
      <c r="D6" s="5"/>
      <c r="E6" s="56">
        <f>CALCULATIONS!G12</f>
        <v>0</v>
      </c>
      <c r="F6" s="55"/>
      <c r="H6" s="1" t="s">
        <v>331</v>
      </c>
    </row>
    <row r="7" spans="1:25" x14ac:dyDescent="0.3">
      <c r="B7" s="5" t="s">
        <v>332</v>
      </c>
      <c r="C7" s="20" t="s">
        <v>333</v>
      </c>
      <c r="D7" s="5"/>
      <c r="E7" s="56">
        <f>CALCULATIONS!G14</f>
        <v>0</v>
      </c>
      <c r="F7" s="55" t="s">
        <v>334</v>
      </c>
      <c r="H7" s="1" t="s">
        <v>319</v>
      </c>
      <c r="I7" s="57">
        <f>CALCULATIONS!G70</f>
        <v>0</v>
      </c>
    </row>
    <row r="8" spans="1:25" x14ac:dyDescent="0.3">
      <c r="B8" s="5" t="s">
        <v>335</v>
      </c>
      <c r="C8" s="20" t="s">
        <v>336</v>
      </c>
      <c r="D8" s="5"/>
      <c r="E8" s="56">
        <f>IFERROR(CALCULATIONS!G13/CALCULATIONS!G12,0)</f>
        <v>0</v>
      </c>
      <c r="F8" s="55" t="s">
        <v>337</v>
      </c>
      <c r="H8" s="1" t="s">
        <v>321</v>
      </c>
      <c r="I8" s="57">
        <f>CALCULATIONS!G71</f>
        <v>0</v>
      </c>
    </row>
    <row r="9" spans="1:25" x14ac:dyDescent="0.3">
      <c r="B9" s="5" t="s">
        <v>338</v>
      </c>
      <c r="C9" s="14" t="s">
        <v>340</v>
      </c>
      <c r="D9" s="5"/>
      <c r="E9" s="58">
        <f>CALCULATIONS!G48</f>
        <v>0</v>
      </c>
      <c r="F9" s="55" t="s">
        <v>341</v>
      </c>
      <c r="H9" s="1" t="s">
        <v>339</v>
      </c>
      <c r="I9" s="57">
        <f>CALCULATIONS!G72</f>
        <v>0</v>
      </c>
    </row>
    <row r="10" spans="1:25" x14ac:dyDescent="0.3">
      <c r="H10" s="1" t="s">
        <v>342</v>
      </c>
      <c r="I10" s="31">
        <f ca="1">CALCULATIONS!G73</f>
        <v>0</v>
      </c>
    </row>
    <row r="11" spans="1:25" x14ac:dyDescent="0.3">
      <c r="H11" s="1" t="s">
        <v>343</v>
      </c>
      <c r="I11" s="59">
        <f>CALCULATIONS!G29</f>
        <v>0</v>
      </c>
    </row>
    <row r="13" spans="1:25" x14ac:dyDescent="0.3">
      <c r="B13" s="93" t="s">
        <v>344</v>
      </c>
      <c r="C13" s="94"/>
      <c r="D13" s="94"/>
      <c r="E13" s="94"/>
      <c r="F13" s="94"/>
      <c r="G13" s="94"/>
      <c r="H13" s="94"/>
      <c r="I13" s="94"/>
      <c r="J13" s="94"/>
      <c r="K13" s="94"/>
      <c r="L13" s="95"/>
    </row>
    <row r="14" spans="1:25" x14ac:dyDescent="0.3">
      <c r="B14" s="11" t="s">
        <v>345</v>
      </c>
      <c r="C14" s="52" t="s">
        <v>221</v>
      </c>
      <c r="D14" s="52" t="s">
        <v>222</v>
      </c>
      <c r="E14" s="52" t="s">
        <v>223</v>
      </c>
      <c r="F14" s="52" t="s">
        <v>224</v>
      </c>
      <c r="G14" s="52" t="s">
        <v>225</v>
      </c>
      <c r="H14" s="52" t="s">
        <v>226</v>
      </c>
      <c r="I14" s="52" t="s">
        <v>227</v>
      </c>
      <c r="J14" s="52" t="s">
        <v>228</v>
      </c>
      <c r="K14" s="52" t="s">
        <v>229</v>
      </c>
      <c r="L14" s="52" t="s">
        <v>230</v>
      </c>
    </row>
    <row r="15" spans="1:25" x14ac:dyDescent="0.3">
      <c r="B15" s="53" t="s">
        <v>346</v>
      </c>
      <c r="C15" s="54">
        <f>CALCULATIONS!G48</f>
        <v>0</v>
      </c>
      <c r="D15" s="54">
        <f>CALCULATIONS!H48</f>
        <v>0</v>
      </c>
      <c r="E15" s="54">
        <f>CALCULATIONS!I48</f>
        <v>0</v>
      </c>
      <c r="F15" s="54">
        <f>CALCULATIONS!J48</f>
        <v>0</v>
      </c>
      <c r="G15" s="54">
        <f>CALCULATIONS!K48</f>
        <v>0</v>
      </c>
      <c r="H15" s="54">
        <f>CALCULATIONS!L48</f>
        <v>0</v>
      </c>
      <c r="I15" s="54">
        <f>CALCULATIONS!M48</f>
        <v>0</v>
      </c>
      <c r="J15" s="54">
        <f>CALCULATIONS!N48</f>
        <v>0</v>
      </c>
      <c r="K15" s="54">
        <f>CALCULATIONS!O48</f>
        <v>0</v>
      </c>
      <c r="L15" s="54">
        <f>CALCULATIONS!P48</f>
        <v>0</v>
      </c>
    </row>
    <row r="17" spans="2:9" x14ac:dyDescent="0.3">
      <c r="B17" s="93" t="s">
        <v>347</v>
      </c>
      <c r="C17" s="94"/>
      <c r="D17" s="94"/>
      <c r="E17" s="94"/>
      <c r="F17" s="94"/>
      <c r="G17" s="94"/>
      <c r="H17" s="94"/>
      <c r="I17" s="95"/>
    </row>
    <row r="18" spans="2:9" x14ac:dyDescent="0.3">
      <c r="B18" s="5" t="s">
        <v>348</v>
      </c>
      <c r="C18" s="20" t="s">
        <v>349</v>
      </c>
      <c r="E18" s="60" t="str">
        <f>IF('DEVELOPER INPUTS'!E10=1,"ISOLATED - DUOS not applicable","GRID-CONNECTED - DUOS applies")</f>
        <v>GRID-CONNECTED - DUOS applies</v>
      </c>
    </row>
    <row r="19" spans="2:9" x14ac:dyDescent="0.3">
      <c r="B19" s="5" t="s">
        <v>350</v>
      </c>
      <c r="C19" s="61" t="s">
        <v>351</v>
      </c>
      <c r="D19" s="5" t="s">
        <v>289</v>
      </c>
      <c r="E19" s="62"/>
      <c r="F19" s="55" t="s">
        <v>352</v>
      </c>
    </row>
  </sheetData>
  <mergeCells count="5">
    <mergeCell ref="B17:I17"/>
    <mergeCell ref="B13:L13"/>
    <mergeCell ref="B5:J5"/>
    <mergeCell ref="B2:Y2"/>
    <mergeCell ref="B3:Y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</vt:lpstr>
      <vt:lpstr>DEVELOPER INPUTS</vt:lpstr>
      <vt:lpstr>COMMISSION PARAMETERS</vt:lpstr>
      <vt:lpstr>CALCULATIONS</vt:lpstr>
      <vt:lpstr>TARIFF DETERMINATION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Bello</dc:creator>
  <cp:lastModifiedBy>Josiah Bello</cp:lastModifiedBy>
  <dcterms:created xsi:type="dcterms:W3CDTF">2026-05-25T09:01:36Z</dcterms:created>
  <dcterms:modified xsi:type="dcterms:W3CDTF">2026-06-14T20:02:12Z</dcterms:modified>
</cp:coreProperties>
</file>